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tabRatio="597" activeTab="1"/>
  </bookViews>
  <sheets>
    <sheet name="Plan1" sheetId="1" r:id="rId1"/>
    <sheet name="Plan2" sheetId="2" r:id="rId2"/>
    <sheet name="Plan3" sheetId="3" r:id="rId3"/>
    <sheet name="Swap us$" sheetId="4" r:id="rId4"/>
    <sheet name="Swaps" sheetId="5" r:id="rId5"/>
    <sheet name="Arbitragem" sheetId="6" r:id="rId6"/>
    <sheet name="Feriados" sheetId="7" r:id="rId7"/>
  </sheets>
  <definedNames>
    <definedName name="_xlnm.Print_Area" localSheetId="5">'Arbitragem'!$I$1:$N$63</definedName>
    <definedName name="_xlnm.Print_Area" localSheetId="3">'Swap us$'!$A$1:$L$41</definedName>
  </definedNames>
  <calcPr fullCalcOnLoad="1"/>
</workbook>
</file>

<file path=xl/sharedStrings.xml><?xml version="1.0" encoding="utf-8"?>
<sst xmlns="http://schemas.openxmlformats.org/spreadsheetml/2006/main" count="184" uniqueCount="94">
  <si>
    <t>Prêmio=</t>
  </si>
  <si>
    <t>CDI</t>
  </si>
  <si>
    <t>Dias</t>
  </si>
  <si>
    <t>Curva</t>
  </si>
  <si>
    <t>Vértice</t>
  </si>
  <si>
    <t>Ativo</t>
  </si>
  <si>
    <t>coeficientes</t>
  </si>
  <si>
    <t>X4</t>
  </si>
  <si>
    <t>X3</t>
  </si>
  <si>
    <t>X2</t>
  </si>
  <si>
    <t>X1</t>
  </si>
  <si>
    <t>X0</t>
  </si>
  <si>
    <t>PU MAM</t>
  </si>
  <si>
    <t>PU curva</t>
  </si>
  <si>
    <t>Compra</t>
  </si>
  <si>
    <t>Taxa MAM=</t>
  </si>
  <si>
    <t>FIN</t>
  </si>
  <si>
    <t>LOTE</t>
  </si>
  <si>
    <t>HEDGE C.</t>
  </si>
  <si>
    <t>rec papel</t>
  </si>
  <si>
    <t>desp juros</t>
  </si>
  <si>
    <t>resultado</t>
  </si>
  <si>
    <t>Margem</t>
  </si>
  <si>
    <t>Papel</t>
  </si>
  <si>
    <t>Taxa</t>
  </si>
  <si>
    <t>PU</t>
  </si>
  <si>
    <t>result. Hedge</t>
  </si>
  <si>
    <t>pre</t>
  </si>
  <si>
    <t>pos</t>
  </si>
  <si>
    <t>Líquido</t>
  </si>
  <si>
    <t>RESULTADO DO HEDGE EM 02/02/2004 - 134 DU</t>
  </si>
  <si>
    <t>FIN PAPEL</t>
  </si>
  <si>
    <t>BMeF</t>
  </si>
  <si>
    <t>Prazo</t>
  </si>
  <si>
    <t>(número de contratos)</t>
  </si>
  <si>
    <t>RESULTADO DA COMPRA EM 25/07/03</t>
  </si>
  <si>
    <t>PU - LTN</t>
  </si>
  <si>
    <t>juro real</t>
  </si>
  <si>
    <t>result. BMEF</t>
  </si>
  <si>
    <t>resultado LTN</t>
  </si>
  <si>
    <t>ptos</t>
  </si>
  <si>
    <t>Pós</t>
  </si>
  <si>
    <t>Pré</t>
  </si>
  <si>
    <t>LTN</t>
  </si>
  <si>
    <t>Passivo em Pós</t>
  </si>
  <si>
    <t>Financeiro</t>
  </si>
  <si>
    <t>Result LTN</t>
  </si>
  <si>
    <t>Swap</t>
  </si>
  <si>
    <t>SWAP</t>
  </si>
  <si>
    <t>Qtde</t>
  </si>
  <si>
    <t>Res. Pós</t>
  </si>
  <si>
    <t>Res. Pré</t>
  </si>
  <si>
    <t>Comp.</t>
  </si>
  <si>
    <t>Vend.</t>
  </si>
  <si>
    <t>Vr Notional</t>
  </si>
  <si>
    <t>Líquido Total</t>
  </si>
  <si>
    <t>Alavancagem</t>
  </si>
  <si>
    <t>Saldo LTN</t>
  </si>
  <si>
    <t>Financiamento</t>
  </si>
  <si>
    <t>Liq.</t>
  </si>
  <si>
    <t>CDI no periodo</t>
  </si>
  <si>
    <t>RESULTADO DA ARBITRAGEM ATÉ O RESGATE</t>
  </si>
  <si>
    <t>Juros real</t>
  </si>
  <si>
    <t>c1</t>
  </si>
  <si>
    <t>c2</t>
  </si>
  <si>
    <t>c3</t>
  </si>
  <si>
    <t>Resultado</t>
  </si>
  <si>
    <t>c4</t>
  </si>
  <si>
    <t>c5</t>
  </si>
  <si>
    <t>A</t>
  </si>
  <si>
    <t>B</t>
  </si>
  <si>
    <t>US$</t>
  </si>
  <si>
    <t>Juros</t>
  </si>
  <si>
    <t>Valor Nocional</t>
  </si>
  <si>
    <t xml:space="preserve">Prazo </t>
  </si>
  <si>
    <t>1 ano</t>
  </si>
  <si>
    <t>Dólar</t>
  </si>
  <si>
    <t>IF</t>
  </si>
  <si>
    <t/>
  </si>
  <si>
    <t>Termo</t>
  </si>
  <si>
    <t>ETTJ</t>
  </si>
  <si>
    <t>Ativo3</t>
  </si>
  <si>
    <t>Ativo A</t>
  </si>
  <si>
    <t>Ativo B</t>
  </si>
  <si>
    <t>%CDI</t>
  </si>
  <si>
    <t>Pontos</t>
  </si>
  <si>
    <t>FF</t>
  </si>
  <si>
    <t>CS</t>
  </si>
  <si>
    <t>DÓLAR</t>
  </si>
  <si>
    <t>ATIVO</t>
  </si>
  <si>
    <t>PASSIVO</t>
  </si>
  <si>
    <t>PRE</t>
  </si>
  <si>
    <t>DOLAR</t>
  </si>
  <si>
    <t>***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</si>
</sst>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"/>
    <numFmt numFmtId="173" formatCode="0.000000000000000"/>
    <numFmt numFmtId="174" formatCode="0.0%"/>
    <numFmt numFmtId="175" formatCode="0.00000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_(* #,##0.000000_);_(* \(#,##0.000000\);_(* &quot;-&quot;??????_);_(@_)"/>
    <numFmt numFmtId="180" formatCode="0.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"/>
    <numFmt numFmtId="196" formatCode="#,##0.000_);[Red]\(#,##0.000\)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_);_(* \(#,##0.00000\);_(* &quot;-&quot;?????_);_(@_)"/>
    <numFmt numFmtId="203" formatCode="0.000%"/>
    <numFmt numFmtId="204" formatCode="0.0000%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  <numFmt numFmtId="209" formatCode="_(* #,##0.000000000000_);_(* \(#,##0.000000000000\);_(* &quot;-&quot;??_);_(@_)"/>
    <numFmt numFmtId="210" formatCode="_(* #,##0.0000000000000_);_(* \(#,##0.0000000000000\);_(* &quot;-&quot;??_);_(@_)"/>
    <numFmt numFmtId="211" formatCode="_(* #,##0.00000000000000_);_(* \(#,##0.00000000000000\);_(* &quot;-&quot;??_);_(@_)"/>
    <numFmt numFmtId="212" formatCode="_(* #,##0.000000000000000_);_(* \(#,##0.000000000000000\);_(* &quot;-&quot;??_);_(@_)"/>
    <numFmt numFmtId="213" formatCode="_-* #,##0.0000_-;\-* #,##0.0000_-;_-* &quot;-&quot;????_-;_-@_-"/>
    <numFmt numFmtId="214" formatCode="#,##0_);[Red]\(#,##0\)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sz val="14.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6.25"/>
      <color indexed="8"/>
      <name val="Arial"/>
      <family val="0"/>
    </font>
    <font>
      <sz val="6.9"/>
      <color indexed="8"/>
      <name val="Arial"/>
      <family val="0"/>
    </font>
    <font>
      <vertAlign val="superscript"/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10"/>
      <name val="Arial"/>
      <family val="0"/>
    </font>
    <font>
      <b/>
      <sz val="11.5"/>
      <color indexed="8"/>
      <name val="Arial"/>
      <family val="0"/>
    </font>
    <font>
      <sz val="15.75"/>
      <color indexed="8"/>
      <name val="Arial"/>
      <family val="0"/>
    </font>
    <font>
      <sz val="6.75"/>
      <color indexed="8"/>
      <name val="Arial"/>
      <family val="0"/>
    </font>
    <font>
      <sz val="8.45"/>
      <color indexed="8"/>
      <name val="Arial"/>
      <family val="0"/>
    </font>
    <font>
      <b/>
      <sz val="11.75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indexed="52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1" fontId="0" fillId="0" borderId="0" xfId="60" applyFont="1" applyAlignment="1">
      <alignment/>
    </xf>
    <xf numFmtId="10" fontId="0" fillId="0" borderId="0" xfId="49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8" fontId="0" fillId="0" borderId="0" xfId="60" applyNumberFormat="1" applyFont="1" applyAlignment="1">
      <alignment/>
    </xf>
    <xf numFmtId="17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1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78" fontId="0" fillId="33" borderId="0" xfId="0" applyNumberFormat="1" applyFill="1" applyAlignment="1">
      <alignment/>
    </xf>
    <xf numFmtId="0" fontId="0" fillId="0" borderId="0" xfId="0" applyAlignment="1" quotePrefix="1">
      <alignment horizontal="left"/>
    </xf>
    <xf numFmtId="196" fontId="3" fillId="0" borderId="0" xfId="60" applyNumberFormat="1" applyFont="1" applyBorder="1" applyAlignment="1">
      <alignment/>
    </xf>
    <xf numFmtId="171" fontId="0" fillId="33" borderId="0" xfId="60" applyFont="1" applyFill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60" applyNumberFormat="1" applyFont="1" applyAlignment="1">
      <alignment/>
    </xf>
    <xf numFmtId="199" fontId="0" fillId="0" borderId="0" xfId="0" applyNumberFormat="1" applyAlignment="1">
      <alignment/>
    </xf>
    <xf numFmtId="200" fontId="0" fillId="0" borderId="0" xfId="60" applyNumberFormat="1" applyFont="1" applyAlignment="1">
      <alignment/>
    </xf>
    <xf numFmtId="201" fontId="0" fillId="0" borderId="0" xfId="60" applyNumberFormat="1" applyFont="1" applyAlignment="1">
      <alignment/>
    </xf>
    <xf numFmtId="178" fontId="0" fillId="0" borderId="0" xfId="60" applyNumberFormat="1" applyFont="1" applyBorder="1" applyAlignment="1">
      <alignment/>
    </xf>
    <xf numFmtId="171" fontId="0" fillId="0" borderId="0" xfId="60" applyFont="1" applyBorder="1" applyAlignment="1">
      <alignment/>
    </xf>
    <xf numFmtId="14" fontId="0" fillId="34" borderId="0" xfId="0" applyNumberFormat="1" applyFill="1" applyAlignment="1">
      <alignment/>
    </xf>
    <xf numFmtId="178" fontId="0" fillId="34" borderId="0" xfId="60" applyNumberFormat="1" applyFont="1" applyFill="1" applyBorder="1" applyAlignment="1">
      <alignment/>
    </xf>
    <xf numFmtId="171" fontId="0" fillId="34" borderId="0" xfId="60" applyFont="1" applyFill="1" applyBorder="1" applyAlignment="1">
      <alignment/>
    </xf>
    <xf numFmtId="171" fontId="0" fillId="34" borderId="0" xfId="60" applyFont="1" applyFill="1" applyAlignment="1">
      <alignment/>
    </xf>
    <xf numFmtId="0" fontId="0" fillId="34" borderId="0" xfId="0" applyFill="1" applyAlignment="1">
      <alignment/>
    </xf>
    <xf numFmtId="171" fontId="0" fillId="34" borderId="0" xfId="6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71" fontId="0" fillId="35" borderId="0" xfId="60" applyFont="1" applyFill="1" applyAlignment="1">
      <alignment/>
    </xf>
    <xf numFmtId="200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197" fontId="0" fillId="0" borderId="0" xfId="60" applyNumberFormat="1" applyFont="1" applyFill="1" applyAlignment="1">
      <alignment/>
    </xf>
    <xf numFmtId="178" fontId="0" fillId="35" borderId="0" xfId="60" applyNumberFormat="1" applyFont="1" applyFill="1" applyAlignment="1">
      <alignment/>
    </xf>
    <xf numFmtId="199" fontId="0" fillId="0" borderId="0" xfId="6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0" fillId="35" borderId="0" xfId="0" applyNumberFormat="1" applyFill="1" applyAlignment="1">
      <alignment/>
    </xf>
    <xf numFmtId="178" fontId="1" fillId="35" borderId="0" xfId="60" applyNumberFormat="1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171" fontId="1" fillId="35" borderId="0" xfId="0" applyNumberFormat="1" applyFont="1" applyFill="1" applyAlignment="1">
      <alignment horizontal="center"/>
    </xf>
    <xf numFmtId="199" fontId="0" fillId="35" borderId="0" xfId="60" applyNumberFormat="1" applyFont="1" applyFill="1" applyAlignment="1">
      <alignment/>
    </xf>
    <xf numFmtId="200" fontId="0" fillId="35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98" fontId="0" fillId="0" borderId="0" xfId="60" applyNumberFormat="1" applyFont="1" applyAlignment="1">
      <alignment/>
    </xf>
    <xf numFmtId="212" fontId="0" fillId="0" borderId="0" xfId="60" applyNumberFormat="1" applyFont="1" applyAlignment="1" quotePrefix="1">
      <alignment horizontal="left"/>
    </xf>
    <xf numFmtId="212" fontId="0" fillId="0" borderId="0" xfId="60" applyNumberFormat="1" applyFont="1" applyAlignment="1">
      <alignment/>
    </xf>
    <xf numFmtId="43" fontId="0" fillId="33" borderId="0" xfId="0" applyNumberFormat="1" applyFill="1" applyAlignment="1">
      <alignment/>
    </xf>
    <xf numFmtId="213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 quotePrefix="1">
      <alignment horizontal="center" vertical="center"/>
    </xf>
    <xf numFmtId="0" fontId="4" fillId="37" borderId="14" xfId="0" applyFont="1" applyFill="1" applyBorder="1" applyAlignment="1" quotePrefix="1">
      <alignment horizontal="center" vertical="center"/>
    </xf>
    <xf numFmtId="0" fontId="4" fillId="37" borderId="15" xfId="0" applyFont="1" applyFill="1" applyBorder="1" applyAlignment="1" quotePrefix="1">
      <alignment horizontal="center" vertical="center"/>
    </xf>
    <xf numFmtId="0" fontId="4" fillId="37" borderId="16" xfId="0" applyFont="1" applyFill="1" applyBorder="1" applyAlignment="1" quotePrefix="1">
      <alignment horizontal="center" vertical="center"/>
    </xf>
    <xf numFmtId="0" fontId="4" fillId="37" borderId="17" xfId="0" applyFont="1" applyFill="1" applyBorder="1" applyAlignment="1" quotePrefix="1">
      <alignment horizontal="center" vertical="center"/>
    </xf>
    <xf numFmtId="0" fontId="4" fillId="37" borderId="18" xfId="0" applyFont="1" applyFill="1" applyBorder="1" applyAlignment="1" quotePrefix="1">
      <alignment horizontal="center" vertical="center"/>
    </xf>
    <xf numFmtId="0" fontId="1" fillId="38" borderId="0" xfId="0" applyFont="1" applyFill="1" applyAlignment="1" quotePrefix="1">
      <alignment horizontal="center"/>
    </xf>
    <xf numFmtId="0" fontId="1" fillId="38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à Termo de Taxa de Juros    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325"/>
          <c:w val="0.9375"/>
          <c:h val="0.6275"/>
        </c:manualLayout>
      </c:layout>
      <c:scatterChart>
        <c:scatterStyle val="lineMarker"/>
        <c:varyColors val="0"/>
        <c:ser>
          <c:idx val="0"/>
          <c:order val="0"/>
          <c:tx>
            <c:v>Curva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00000"/>
            </c:trendlineLbl>
          </c:trendline>
          <c:xVal>
            <c:numRef>
              <c:f>Plan1!$J$3:$J$28</c:f>
              <c:numCache/>
            </c:numRef>
          </c:xVal>
          <c:yVal>
            <c:numRef>
              <c:f>Plan1!$K$3:$K$28</c:f>
              <c:numCache/>
            </c:numRef>
          </c:yVal>
          <c:smooth val="0"/>
        </c:ser>
        <c:ser>
          <c:idx val="2"/>
          <c:order val="1"/>
          <c:tx>
            <c:v>AA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Plan1!$J$3:$J$28</c:f>
              <c:numCache/>
            </c:numRef>
          </c:xVal>
          <c:yVal>
            <c:numRef>
              <c:f>Plan1!$M$3:$M$28</c:f>
              <c:numCache/>
            </c:numRef>
          </c:yVal>
          <c:smooth val="0"/>
        </c:ser>
        <c:ser>
          <c:idx val="1"/>
          <c:order val="2"/>
          <c:tx>
            <c:v>BB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Plan1!$J$3:$J$27</c:f>
              <c:numCache/>
            </c:numRef>
          </c:xVal>
          <c:yVal>
            <c:numRef>
              <c:f>Plan1!$N$3:$N$27</c:f>
              <c:numCache/>
            </c:numRef>
          </c:yVal>
          <c:smooth val="0"/>
        </c:ser>
        <c:ser>
          <c:idx val="3"/>
          <c:order val="3"/>
          <c:tx>
            <c:v>Ativo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Plan1!$J$28</c:f>
              <c:numCache/>
            </c:numRef>
          </c:xVal>
          <c:yVal>
            <c:numRef>
              <c:f>Plan1!$O$28</c:f>
              <c:numCache/>
            </c:numRef>
          </c:yVal>
          <c:smooth val="0"/>
        </c:ser>
        <c:axId val="12992359"/>
        <c:axId val="49822368"/>
      </c:scatterChart>
      <c:valAx>
        <c:axId val="1299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</a:t>
                </a:r>
              </a:p>
            </c:rich>
          </c:tx>
          <c:layout>
            <c:manualLayout>
              <c:xMode val="factor"/>
              <c:yMode val="factor"/>
              <c:x val="-0.0402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crossBetween val="midCat"/>
        <c:dispUnits/>
      </c:valAx>
      <c:valAx>
        <c:axId val="49822368"/>
        <c:scaling>
          <c:orientation val="minMax"/>
          <c:max val="17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(%)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75"/>
          <c:y val="0.7585"/>
          <c:w val="0.648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à Termo de Taxa de Juros    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175"/>
          <c:w val="0.93625"/>
          <c:h val="0.63125"/>
        </c:manualLayout>
      </c:layout>
      <c:scatterChart>
        <c:scatterStyle val="lineMarker"/>
        <c:varyColors val="0"/>
        <c:ser>
          <c:idx val="0"/>
          <c:order val="0"/>
          <c:tx>
            <c:v>Vértice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000"/>
            </c:trendlineLbl>
          </c:trendline>
          <c:xVal>
            <c:numRef>
              <c:f>Plan2!$J$5:$J$13</c:f>
              <c:numCache/>
            </c:numRef>
          </c:xVal>
          <c:yVal>
            <c:numRef>
              <c:f>Plan2!$K$5:$K$13</c:f>
              <c:numCache/>
            </c:numRef>
          </c:yVal>
          <c:smooth val="0"/>
        </c:ser>
        <c:ser>
          <c:idx val="1"/>
          <c:order val="1"/>
          <c:tx>
            <c:v>Curva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Plan2!$J$5:$J$13</c:f>
              <c:numCache/>
            </c:numRef>
          </c:xVal>
          <c:yVal>
            <c:numRef>
              <c:f>Plan2!$L$5:$L$13</c:f>
              <c:numCache/>
            </c:numRef>
          </c:yVal>
          <c:smooth val="0"/>
        </c:ser>
        <c:ser>
          <c:idx val="2"/>
          <c:order val="2"/>
          <c:tx>
            <c:v>Ativo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Plan2!$J$5:$J$13</c:f>
              <c:numCache/>
            </c:numRef>
          </c:xVal>
          <c:yVal>
            <c:numRef>
              <c:f>Plan2!$M$5:$M$13</c:f>
              <c:numCache/>
            </c:numRef>
          </c:yVal>
          <c:smooth val="0"/>
        </c:ser>
        <c:axId val="45748129"/>
        <c:axId val="9079978"/>
      </c:scatterChart>
      <c:valAx>
        <c:axId val="45748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</a:t>
                </a:r>
              </a:p>
            </c:rich>
          </c:tx>
          <c:layout>
            <c:manualLayout>
              <c:xMode val="factor"/>
              <c:yMode val="factor"/>
              <c:x val="0.051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crossBetween val="midCat"/>
        <c:dispUnits/>
      </c:valAx>
      <c:valAx>
        <c:axId val="9079978"/>
        <c:scaling>
          <c:orientation val="minMax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(%)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1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25"/>
          <c:y val="0.735"/>
          <c:w val="0.604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à Termo de Taxa de Juros    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175"/>
          <c:w val="0.93625"/>
          <c:h val="0.63125"/>
        </c:manualLayout>
      </c:layout>
      <c:scatterChart>
        <c:scatterStyle val="lineMarker"/>
        <c:varyColors val="0"/>
        <c:ser>
          <c:idx val="0"/>
          <c:order val="0"/>
          <c:tx>
            <c:v>Vértice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0000"/>
            </c:trendlineLbl>
          </c:trendline>
          <c:xVal>
            <c:numRef>
              <c:f>Plan3!$J$5:$J$13</c:f>
              <c:numCache/>
            </c:numRef>
          </c:xVal>
          <c:yVal>
            <c:numRef>
              <c:f>Plan3!$K$5:$K$13</c:f>
              <c:numCache/>
            </c:numRef>
          </c:yVal>
          <c:smooth val="0"/>
        </c:ser>
        <c:ser>
          <c:idx val="1"/>
          <c:order val="1"/>
          <c:tx>
            <c:v>Curva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Plan3!$J$5:$J$13</c:f>
              <c:numCache/>
            </c:numRef>
          </c:xVal>
          <c:yVal>
            <c:numRef>
              <c:f>Plan3!$L$5:$L$13</c:f>
              <c:numCache/>
            </c:numRef>
          </c:yVal>
          <c:smooth val="0"/>
        </c:ser>
        <c:ser>
          <c:idx val="2"/>
          <c:order val="2"/>
          <c:tx>
            <c:v>Ativo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Plan3!$J$5:$J$13</c:f>
              <c:numCache/>
            </c:numRef>
          </c:xVal>
          <c:yVal>
            <c:numRef>
              <c:f>Plan3!$M$5:$M$13</c:f>
              <c:numCache/>
            </c:numRef>
          </c:yVal>
          <c:smooth val="0"/>
        </c:ser>
        <c:axId val="14610939"/>
        <c:axId val="64389588"/>
      </c:scatterChart>
      <c:valAx>
        <c:axId val="14610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</a:t>
                </a:r>
              </a:p>
            </c:rich>
          </c:tx>
          <c:layout>
            <c:manualLayout>
              <c:xMode val="factor"/>
              <c:yMode val="factor"/>
              <c:x val="0.0515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9588"/>
        <c:crosses val="autoZero"/>
        <c:crossBetween val="midCat"/>
        <c:dispUnits/>
      </c:valAx>
      <c:valAx>
        <c:axId val="64389588"/>
        <c:scaling>
          <c:orientation val="minMax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(%)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9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25"/>
          <c:y val="0.735"/>
          <c:w val="0.604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15"/>
          <c:w val="0.995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Pós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'Swap us$'!$C$3:$C$6</c:f>
              <c:numCache/>
            </c:numRef>
          </c:cat>
          <c:val>
            <c:numRef>
              <c:f>'Swap us$'!$D$3:$D$6</c:f>
              <c:numCache/>
            </c:numRef>
          </c:val>
        </c:ser>
        <c:ser>
          <c:idx val="1"/>
          <c:order val="1"/>
          <c:tx>
            <c:v>Pré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'Swap us$'!$C$3:$C$6</c:f>
              <c:numCache/>
            </c:numRef>
          </c:cat>
          <c:val>
            <c:numRef>
              <c:f>'Swap us$'!$E$3:$E$6</c:f>
              <c:numCache/>
            </c:numRef>
          </c:val>
        </c:ser>
        <c:axId val="42635381"/>
        <c:axId val="48174110"/>
      </c:barChart>
      <c:catAx>
        <c:axId val="42635381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0"/>
        <c:lblOffset val="100"/>
        <c:tickLblSkip val="1"/>
        <c:noMultiLvlLbl val="0"/>
      </c:catAx>
      <c:valAx>
        <c:axId val="481741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5381"/>
        <c:crossesAt val="1"/>
        <c:crossBetween val="between"/>
        <c:dispUnits/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05325"/>
          <c:w val="0.055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à Termo de Taxa de Juros    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12"/>
          <c:w val="0.93525"/>
          <c:h val="0.62825"/>
        </c:manualLayout>
      </c:layout>
      <c:scatterChart>
        <c:scatterStyle val="lineMarker"/>
        <c:varyColors val="0"/>
        <c:ser>
          <c:idx val="0"/>
          <c:order val="0"/>
          <c:tx>
            <c:v>Vértice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"/>
            </c:trendlineLbl>
          </c:trendline>
          <c:xVal>
            <c:numRef>
              <c:f>Arbitragem!$J$2:$J$13</c:f>
              <c:numCache/>
            </c:numRef>
          </c:xVal>
          <c:yVal>
            <c:numRef>
              <c:f>Arbitragem!$K$2:$K$13</c:f>
              <c:numCache/>
            </c:numRef>
          </c:yVal>
          <c:smooth val="0"/>
        </c:ser>
        <c:ser>
          <c:idx val="1"/>
          <c:order val="1"/>
          <c:tx>
            <c:v>Curva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Arbitragem!$J$2:$J$13</c:f>
              <c:numCache/>
            </c:numRef>
          </c:xVal>
          <c:yVal>
            <c:numRef>
              <c:f>Arbitragem!$L$2:$L$13</c:f>
              <c:numCache/>
            </c:numRef>
          </c:yVal>
          <c:smooth val="0"/>
        </c:ser>
        <c:ser>
          <c:idx val="2"/>
          <c:order val="2"/>
          <c:tx>
            <c:v>Ativo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Arbitragem!$J$2:$J$13</c:f>
              <c:numCache/>
            </c:numRef>
          </c:xVal>
          <c:yVal>
            <c:numRef>
              <c:f>Arbitragem!$M$2:$M$13</c:f>
              <c:numCache/>
            </c:numRef>
          </c:yVal>
          <c:smooth val="0"/>
        </c:ser>
        <c:axId val="30913807"/>
        <c:axId val="9788808"/>
      </c:scatterChart>
      <c:valAx>
        <c:axId val="3091380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</a:t>
                </a:r>
              </a:p>
            </c:rich>
          </c:tx>
          <c:layout>
            <c:manualLayout>
              <c:xMode val="factor"/>
              <c:yMode val="factor"/>
              <c:x val="0.0527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crossBetween val="midCat"/>
        <c:dispUnits/>
      </c:valAx>
      <c:valAx>
        <c:axId val="9788808"/>
        <c:scaling>
          <c:orientation val="minMax"/>
          <c:max val="25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(%)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5"/>
          <c:y val="0.7585"/>
          <c:w val="0.6022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Estrutura à Termo de Taxa de Juros    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4"/>
          <c:w val="0.9355"/>
          <c:h val="0.5965"/>
        </c:manualLayout>
      </c:layout>
      <c:scatterChart>
        <c:scatterStyle val="lineMarker"/>
        <c:varyColors val="0"/>
        <c:ser>
          <c:idx val="0"/>
          <c:order val="0"/>
          <c:tx>
            <c:v>Vértice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00"/>
            </c:trendlineLbl>
          </c:trendline>
          <c:xVal>
            <c:numRef>
              <c:f>Arbitragem!$J$2:$J$13</c:f>
              <c:numCache/>
            </c:numRef>
          </c:xVal>
          <c:yVal>
            <c:numRef>
              <c:f>Arbitragem!$K$2:$K$13</c:f>
              <c:numCache/>
            </c:numRef>
          </c:yVal>
          <c:smooth val="0"/>
        </c:ser>
        <c:ser>
          <c:idx val="1"/>
          <c:order val="1"/>
          <c:tx>
            <c:v>Curva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Arbitragem!$J$2:$J$13</c:f>
              <c:numCache/>
            </c:numRef>
          </c:xVal>
          <c:yVal>
            <c:numRef>
              <c:f>Arbitragem!$L$2:$L$13</c:f>
              <c:numCache/>
            </c:numRef>
          </c:yVal>
          <c:smooth val="0"/>
        </c:ser>
        <c:ser>
          <c:idx val="2"/>
          <c:order val="2"/>
          <c:tx>
            <c:v>Ativo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Arbitragem!$J$2:$J$13</c:f>
              <c:numCache/>
            </c:numRef>
          </c:xVal>
          <c:yVal>
            <c:numRef>
              <c:f>Arbitragem!$M$2:$M$13</c:f>
              <c:numCache/>
            </c:numRef>
          </c:yVal>
          <c:smooth val="0"/>
        </c:ser>
        <c:axId val="20990409"/>
        <c:axId val="54695954"/>
      </c:scatterChart>
      <c:valAx>
        <c:axId val="20990409"/>
        <c:scaling>
          <c:orientation val="minMax"/>
          <c:max val="238"/>
          <c:min val="2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</a:t>
                </a:r>
              </a:p>
            </c:rich>
          </c:tx>
          <c:layout>
            <c:manualLayout>
              <c:xMode val="factor"/>
              <c:yMode val="factor"/>
              <c:x val="0.051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crossBetween val="midCat"/>
        <c:dispUnits/>
        <c:majorUnit val="1"/>
        <c:minorUnit val="0.1"/>
      </c:valAx>
      <c:valAx>
        <c:axId val="54695954"/>
        <c:scaling>
          <c:orientation val="minMax"/>
          <c:max val="20.53"/>
          <c:min val="20.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(%)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00_);_(* \(#,##0.0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crossBetween val="midCat"/>
        <c:dispUnits/>
        <c:majorUnit val="0.00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75"/>
          <c:y val="0.73425"/>
          <c:w val="0.601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8</xdr:col>
      <xdr:colOff>180975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76200" y="0"/>
        <a:ext cx="5200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142875</xdr:rowOff>
    </xdr:from>
    <xdr:to>
      <xdr:col>8</xdr:col>
      <xdr:colOff>180975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76200" y="304800"/>
        <a:ext cx="50006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142875</xdr:rowOff>
    </xdr:from>
    <xdr:to>
      <xdr:col>8</xdr:col>
      <xdr:colOff>180975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76200" y="304800"/>
        <a:ext cx="50006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66675</xdr:rowOff>
    </xdr:from>
    <xdr:to>
      <xdr:col>10</xdr:col>
      <xdr:colOff>133350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04800" y="1200150"/>
        <a:ext cx="7458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104775</xdr:rowOff>
    </xdr:from>
    <xdr:to>
      <xdr:col>5</xdr:col>
      <xdr:colOff>590550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2705100" y="600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38100</xdr:rowOff>
    </xdr:from>
    <xdr:to>
      <xdr:col>5</xdr:col>
      <xdr:colOff>590550</xdr:colOff>
      <xdr:row>5</xdr:row>
      <xdr:rowOff>38100</xdr:rowOff>
    </xdr:to>
    <xdr:sp>
      <xdr:nvSpPr>
        <xdr:cNvPr id="2" name="Line 2"/>
        <xdr:cNvSpPr>
          <a:spLocks/>
        </xdr:cNvSpPr>
      </xdr:nvSpPr>
      <xdr:spPr>
        <a:xfrm>
          <a:off x="2714625" y="8572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581025</xdr:colOff>
      <xdr:row>3</xdr:row>
      <xdr:rowOff>152400</xdr:rowOff>
    </xdr:to>
    <xdr:sp>
      <xdr:nvSpPr>
        <xdr:cNvPr id="3" name="Line 3"/>
        <xdr:cNvSpPr>
          <a:spLocks/>
        </xdr:cNvSpPr>
      </xdr:nvSpPr>
      <xdr:spPr>
        <a:xfrm flipH="1" flipV="1">
          <a:off x="1466850" y="542925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9525</xdr:rowOff>
    </xdr:from>
    <xdr:to>
      <xdr:col>2</xdr:col>
      <xdr:colOff>571500</xdr:colOff>
      <xdr:row>6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1504950" y="828675"/>
          <a:ext cx="533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19050</xdr:rowOff>
    </xdr:from>
    <xdr:to>
      <xdr:col>8</xdr:col>
      <xdr:colOff>0</xdr:colOff>
      <xdr:row>3</xdr:row>
      <xdr:rowOff>123825</xdr:rowOff>
    </xdr:to>
    <xdr:sp>
      <xdr:nvSpPr>
        <xdr:cNvPr id="5" name="Line 6"/>
        <xdr:cNvSpPr>
          <a:spLocks/>
        </xdr:cNvSpPr>
      </xdr:nvSpPr>
      <xdr:spPr>
        <a:xfrm flipH="1">
          <a:off x="4743450" y="5143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38100</xdr:rowOff>
    </xdr:from>
    <xdr:to>
      <xdr:col>8</xdr:col>
      <xdr:colOff>19050</xdr:colOff>
      <xdr:row>5</xdr:row>
      <xdr:rowOff>142875</xdr:rowOff>
    </xdr:to>
    <xdr:sp>
      <xdr:nvSpPr>
        <xdr:cNvPr id="6" name="Line 7"/>
        <xdr:cNvSpPr>
          <a:spLocks/>
        </xdr:cNvSpPr>
      </xdr:nvSpPr>
      <xdr:spPr>
        <a:xfrm>
          <a:off x="4733925" y="857250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47625</xdr:rowOff>
    </xdr:from>
    <xdr:to>
      <xdr:col>2</xdr:col>
      <xdr:colOff>581025</xdr:colOff>
      <xdr:row>26</xdr:row>
      <xdr:rowOff>152400</xdr:rowOff>
    </xdr:to>
    <xdr:sp>
      <xdr:nvSpPr>
        <xdr:cNvPr id="7" name="Line 10"/>
        <xdr:cNvSpPr>
          <a:spLocks/>
        </xdr:cNvSpPr>
      </xdr:nvSpPr>
      <xdr:spPr>
        <a:xfrm flipH="1" flipV="1">
          <a:off x="1466850" y="42862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28</xdr:row>
      <xdr:rowOff>9525</xdr:rowOff>
    </xdr:from>
    <xdr:to>
      <xdr:col>2</xdr:col>
      <xdr:colOff>571500</xdr:colOff>
      <xdr:row>29</xdr:row>
      <xdr:rowOff>28575</xdr:rowOff>
    </xdr:to>
    <xdr:sp>
      <xdr:nvSpPr>
        <xdr:cNvPr id="8" name="Line 11"/>
        <xdr:cNvSpPr>
          <a:spLocks/>
        </xdr:cNvSpPr>
      </xdr:nvSpPr>
      <xdr:spPr>
        <a:xfrm flipV="1">
          <a:off x="1504950" y="4572000"/>
          <a:ext cx="533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19050</xdr:rowOff>
    </xdr:from>
    <xdr:to>
      <xdr:col>10</xdr:col>
      <xdr:colOff>0</xdr:colOff>
      <xdr:row>26</xdr:row>
      <xdr:rowOff>123825</xdr:rowOff>
    </xdr:to>
    <xdr:sp>
      <xdr:nvSpPr>
        <xdr:cNvPr id="9" name="Line 12"/>
        <xdr:cNvSpPr>
          <a:spLocks/>
        </xdr:cNvSpPr>
      </xdr:nvSpPr>
      <xdr:spPr>
        <a:xfrm flipH="1">
          <a:off x="5972175" y="4257675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28</xdr:row>
      <xdr:rowOff>38100</xdr:rowOff>
    </xdr:from>
    <xdr:to>
      <xdr:col>10</xdr:col>
      <xdr:colOff>19050</xdr:colOff>
      <xdr:row>28</xdr:row>
      <xdr:rowOff>142875</xdr:rowOff>
    </xdr:to>
    <xdr:sp>
      <xdr:nvSpPr>
        <xdr:cNvPr id="10" name="Line 13"/>
        <xdr:cNvSpPr>
          <a:spLocks/>
        </xdr:cNvSpPr>
      </xdr:nvSpPr>
      <xdr:spPr>
        <a:xfrm>
          <a:off x="5962650" y="4600575"/>
          <a:ext cx="609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29</xdr:row>
      <xdr:rowOff>66675</xdr:rowOff>
    </xdr:from>
    <xdr:to>
      <xdr:col>4</xdr:col>
      <xdr:colOff>533400</xdr:colOff>
      <xdr:row>32</xdr:row>
      <xdr:rowOff>47625</xdr:rowOff>
    </xdr:to>
    <xdr:sp>
      <xdr:nvSpPr>
        <xdr:cNvPr id="11" name="Line 14"/>
        <xdr:cNvSpPr>
          <a:spLocks/>
        </xdr:cNvSpPr>
      </xdr:nvSpPr>
      <xdr:spPr>
        <a:xfrm>
          <a:off x="2581275" y="4800600"/>
          <a:ext cx="647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29</xdr:row>
      <xdr:rowOff>66675</xdr:rowOff>
    </xdr:from>
    <xdr:to>
      <xdr:col>8</xdr:col>
      <xdr:colOff>276225</xdr:colOff>
      <xdr:row>32</xdr:row>
      <xdr:rowOff>38100</xdr:rowOff>
    </xdr:to>
    <xdr:sp>
      <xdr:nvSpPr>
        <xdr:cNvPr id="12" name="Line 15"/>
        <xdr:cNvSpPr>
          <a:spLocks/>
        </xdr:cNvSpPr>
      </xdr:nvSpPr>
      <xdr:spPr>
        <a:xfrm flipV="1">
          <a:off x="4848225" y="4800600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123825</xdr:rowOff>
    </xdr:from>
    <xdr:to>
      <xdr:col>7</xdr:col>
      <xdr:colOff>542925</xdr:colOff>
      <xdr:row>29</xdr:row>
      <xdr:rowOff>95250</xdr:rowOff>
    </xdr:to>
    <xdr:sp>
      <xdr:nvSpPr>
        <xdr:cNvPr id="13" name="Line 16"/>
        <xdr:cNvSpPr>
          <a:spLocks/>
        </xdr:cNvSpPr>
      </xdr:nvSpPr>
      <xdr:spPr>
        <a:xfrm flipH="1">
          <a:off x="4400550" y="4362450"/>
          <a:ext cx="8572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26</xdr:row>
      <xdr:rowOff>152400</xdr:rowOff>
    </xdr:from>
    <xdr:to>
      <xdr:col>5</xdr:col>
      <xdr:colOff>161925</xdr:colOff>
      <xdr:row>29</xdr:row>
      <xdr:rowOff>123825</xdr:rowOff>
    </xdr:to>
    <xdr:sp>
      <xdr:nvSpPr>
        <xdr:cNvPr id="14" name="Line 17"/>
        <xdr:cNvSpPr>
          <a:spLocks/>
        </xdr:cNvSpPr>
      </xdr:nvSpPr>
      <xdr:spPr>
        <a:xfrm flipH="1" flipV="1">
          <a:off x="2762250" y="4391025"/>
          <a:ext cx="704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7</xdr:col>
      <xdr:colOff>733425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66700"/>
        <a:ext cx="5019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104775</xdr:rowOff>
    </xdr:from>
    <xdr:to>
      <xdr:col>7</xdr:col>
      <xdr:colOff>742950</xdr:colOff>
      <xdr:row>45</xdr:row>
      <xdr:rowOff>142875</xdr:rowOff>
    </xdr:to>
    <xdr:graphicFrame>
      <xdr:nvGraphicFramePr>
        <xdr:cNvPr id="2" name="Chart 3"/>
        <xdr:cNvGraphicFramePr/>
      </xdr:nvGraphicFramePr>
      <xdr:xfrm>
        <a:off x="0" y="4152900"/>
        <a:ext cx="50292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D2:AF63"/>
  <sheetViews>
    <sheetView zoomScalePageLayoutView="0" workbookViewId="0" topLeftCell="A1">
      <selection activeCell="C32" sqref="C32"/>
    </sheetView>
  </sheetViews>
  <sheetFormatPr defaultColWidth="9.140625" defaultRowHeight="12.75"/>
  <cols>
    <col min="3" max="3" width="9.28125" style="0" customWidth="1"/>
    <col min="5" max="5" width="10.57421875" style="0" customWidth="1"/>
    <col min="6" max="6" width="9.28125" style="0" customWidth="1"/>
    <col min="7" max="7" width="10.7109375" style="0" customWidth="1"/>
    <col min="9" max="9" width="10.28125" style="0" customWidth="1"/>
    <col min="10" max="10" width="11.140625" style="0" customWidth="1"/>
    <col min="11" max="11" width="14.00390625" style="0" bestFit="1" customWidth="1"/>
    <col min="12" max="12" width="9.8515625" style="0" customWidth="1"/>
    <col min="13" max="13" width="13.140625" style="0" bestFit="1" customWidth="1"/>
    <col min="15" max="15" width="14.00390625" style="0" bestFit="1" customWidth="1"/>
    <col min="17" max="17" width="11.8515625" style="0" bestFit="1" customWidth="1"/>
    <col min="18" max="18" width="20.00390625" style="0" bestFit="1" customWidth="1"/>
    <col min="20" max="20" width="11.8515625" style="0" bestFit="1" customWidth="1"/>
    <col min="23" max="23" width="11.28125" style="0" bestFit="1" customWidth="1"/>
    <col min="26" max="26" width="11.7109375" style="0" customWidth="1"/>
  </cols>
  <sheetData>
    <row r="2" spans="10:32" ht="12.75">
      <c r="J2" s="4" t="s">
        <v>2</v>
      </c>
      <c r="K2" s="4" t="s">
        <v>4</v>
      </c>
      <c r="L2" s="4" t="s">
        <v>3</v>
      </c>
      <c r="M2" s="4" t="s">
        <v>82</v>
      </c>
      <c r="N2" s="4" t="s">
        <v>83</v>
      </c>
      <c r="O2" s="4" t="s">
        <v>81</v>
      </c>
      <c r="R2" t="s">
        <v>6</v>
      </c>
      <c r="T2" t="s">
        <v>66</v>
      </c>
      <c r="AB2" t="s">
        <v>63</v>
      </c>
      <c r="AC2" t="s">
        <v>64</v>
      </c>
      <c r="AD2" t="s">
        <v>65</v>
      </c>
      <c r="AE2" t="s">
        <v>67</v>
      </c>
      <c r="AF2" s="4" t="s">
        <v>68</v>
      </c>
    </row>
    <row r="3" spans="10:32" ht="12.75">
      <c r="J3" s="7">
        <v>18</v>
      </c>
      <c r="K3">
        <v>17.17</v>
      </c>
      <c r="L3" s="1">
        <f>$R$3*J3^4+$R$4*J3^3+$R$5*J3^2+$R$6*J3+$R$7</f>
        <v>17.026697926827474</v>
      </c>
      <c r="M3" s="8">
        <f>L3+0.00033*J3+0.01</f>
        <v>17.042637926827474</v>
      </c>
      <c r="N3" s="8">
        <f>L3+0.00053*J3+0.01</f>
        <v>17.046237926827477</v>
      </c>
      <c r="R3" s="52">
        <v>2.29098E-12</v>
      </c>
      <c r="S3" s="4" t="s">
        <v>7</v>
      </c>
      <c r="T3" s="8">
        <f>Z3-W3</f>
        <v>889.7257591800735</v>
      </c>
      <c r="U3">
        <v>100</v>
      </c>
      <c r="V3">
        <f>1000/(1+K3/100)^(J3/252)</f>
        <v>988.7455473094258</v>
      </c>
      <c r="W3" s="8">
        <f>V3*U3</f>
        <v>98874.55473094257</v>
      </c>
      <c r="Z3" s="8">
        <v>99764.28049012265</v>
      </c>
      <c r="AB3" s="1">
        <v>16.03</v>
      </c>
      <c r="AC3" s="1">
        <v>15</v>
      </c>
      <c r="AD3" s="1">
        <v>17</v>
      </c>
      <c r="AE3" s="1">
        <v>16.8</v>
      </c>
      <c r="AF3" s="1">
        <v>16.03</v>
      </c>
    </row>
    <row r="4" spans="10:32" ht="12.75">
      <c r="J4" s="7">
        <v>41</v>
      </c>
      <c r="K4">
        <v>16.92</v>
      </c>
      <c r="L4" s="1">
        <f>$R$3*J4^4+$R$4*J4^3+$R$5*J4^2+$R$6*J4+$R$7</f>
        <v>16.865436786414925</v>
      </c>
      <c r="M4" s="8">
        <f aca="true" t="shared" si="0" ref="M4:M27">L4+0.00033*J4+0.01</f>
        <v>16.888966786414926</v>
      </c>
      <c r="N4" s="8">
        <f aca="true" t="shared" si="1" ref="N4:N27">L4+0.00053*J4+0.01</f>
        <v>16.897166786414928</v>
      </c>
      <c r="R4" s="53">
        <v>-8.27462577E-09</v>
      </c>
      <c r="S4" s="4" t="s">
        <v>8</v>
      </c>
      <c r="T4" s="8">
        <f>Z4-W4</f>
        <v>0</v>
      </c>
      <c r="U4">
        <v>0</v>
      </c>
      <c r="V4">
        <f>1000/(1+K7/100)^(J7/252)</f>
        <v>940.611947991397</v>
      </c>
      <c r="W4" s="8">
        <f>V4*U4</f>
        <v>0</v>
      </c>
      <c r="Z4" s="8">
        <v>0</v>
      </c>
      <c r="AB4" s="1">
        <v>15.9</v>
      </c>
      <c r="AC4" s="1">
        <v>15.3</v>
      </c>
      <c r="AD4" s="1">
        <v>16.5</v>
      </c>
      <c r="AE4" s="1">
        <v>16.6</v>
      </c>
      <c r="AF4" s="1">
        <v>15.85</v>
      </c>
    </row>
    <row r="5" spans="10:32" ht="12.75">
      <c r="J5" s="7">
        <v>59</v>
      </c>
      <c r="K5">
        <v>16.74</v>
      </c>
      <c r="L5" s="1">
        <f aca="true" t="shared" si="2" ref="L5:L28">$R$3*J5^4+$R$4*J5^3+$R$5*J5^2+$R$6*J5+$R$7</f>
        <v>16.746707210631822</v>
      </c>
      <c r="M5" s="8">
        <f t="shared" si="0"/>
        <v>16.776177210631822</v>
      </c>
      <c r="N5" s="8">
        <f t="shared" si="1"/>
        <v>16.787977210631823</v>
      </c>
      <c r="R5" s="53">
        <v>1.108262035495E-05</v>
      </c>
      <c r="S5" s="4" t="s">
        <v>9</v>
      </c>
      <c r="T5" s="8">
        <f>Z5-W5</f>
        <v>1165.2186462486861</v>
      </c>
      <c r="U5">
        <v>-100</v>
      </c>
      <c r="V5">
        <f>1000/(1+K10/100)^(J10/252)</f>
        <v>845.659506025545</v>
      </c>
      <c r="W5" s="8">
        <f>V5*U5</f>
        <v>-84565.95060255451</v>
      </c>
      <c r="Z5" s="8">
        <v>-83400.73195630583</v>
      </c>
      <c r="AB5" s="1">
        <v>15.79</v>
      </c>
      <c r="AC5" s="1">
        <v>15.7</v>
      </c>
      <c r="AD5" s="1">
        <v>15.5</v>
      </c>
      <c r="AE5" s="1">
        <v>16.4</v>
      </c>
      <c r="AF5" s="1">
        <v>15.75</v>
      </c>
    </row>
    <row r="6" spans="10:32" ht="12.75">
      <c r="J6" s="7">
        <v>81</v>
      </c>
      <c r="K6">
        <v>16.55</v>
      </c>
      <c r="L6" s="1">
        <f t="shared" si="2"/>
        <v>16.610072849454305</v>
      </c>
      <c r="M6" s="8">
        <f t="shared" si="0"/>
        <v>16.646802849454307</v>
      </c>
      <c r="N6" s="8">
        <f t="shared" si="1"/>
        <v>16.663002849454305</v>
      </c>
      <c r="R6" s="53">
        <v>-0.00764280224491439</v>
      </c>
      <c r="S6" s="4" t="s">
        <v>10</v>
      </c>
      <c r="T6" s="8">
        <f>SUM(T3:T5)</f>
        <v>2054.9444054287596</v>
      </c>
      <c r="W6" s="8">
        <f>SUM(W3:W5)</f>
        <v>14308.604128388062</v>
      </c>
      <c r="Z6" s="8">
        <f>SUM(Z3:Z5)</f>
        <v>16363.548533816822</v>
      </c>
      <c r="AB6" s="1">
        <v>15.68</v>
      </c>
      <c r="AC6" s="1">
        <v>16</v>
      </c>
      <c r="AD6" s="1">
        <v>15</v>
      </c>
      <c r="AE6" s="1">
        <v>16</v>
      </c>
      <c r="AF6" s="1">
        <v>15.65</v>
      </c>
    </row>
    <row r="7" spans="10:32" ht="12.75">
      <c r="J7" s="7">
        <v>102</v>
      </c>
      <c r="K7">
        <v>16.33</v>
      </c>
      <c r="L7" s="1">
        <f t="shared" si="2"/>
        <v>16.487930252530994</v>
      </c>
      <c r="M7" s="8">
        <f t="shared" si="0"/>
        <v>16.531590252530997</v>
      </c>
      <c r="N7" s="8">
        <f t="shared" si="1"/>
        <v>16.551990252530995</v>
      </c>
      <c r="R7" s="53">
        <v>17.1607256153605</v>
      </c>
      <c r="S7" s="4" t="s">
        <v>11</v>
      </c>
      <c r="W7" s="8"/>
      <c r="AB7" s="1">
        <v>15.5</v>
      </c>
      <c r="AC7" s="1">
        <v>16.5</v>
      </c>
      <c r="AD7" s="1">
        <v>14.5</v>
      </c>
      <c r="AE7" s="1">
        <v>15.5</v>
      </c>
      <c r="AF7" s="1">
        <v>15.3</v>
      </c>
    </row>
    <row r="8" spans="10:32" ht="12.75">
      <c r="J8" s="7">
        <v>166</v>
      </c>
      <c r="K8">
        <v>16.04</v>
      </c>
      <c r="L8" s="1">
        <f t="shared" si="2"/>
        <v>16.16130215867242</v>
      </c>
      <c r="M8" s="8">
        <f t="shared" si="0"/>
        <v>16.226082158672423</v>
      </c>
      <c r="N8" s="8">
        <f t="shared" si="1"/>
        <v>16.259282158672423</v>
      </c>
      <c r="S8" s="6"/>
      <c r="W8" s="8"/>
      <c r="AB8" s="1">
        <v>15.37</v>
      </c>
      <c r="AC8" s="1">
        <v>15.7</v>
      </c>
      <c r="AD8" s="1">
        <v>15.37</v>
      </c>
      <c r="AE8" s="1">
        <v>15</v>
      </c>
      <c r="AF8" s="1">
        <v>15</v>
      </c>
    </row>
    <row r="9" spans="10:32" ht="12.75">
      <c r="J9" s="7">
        <v>227</v>
      </c>
      <c r="K9">
        <v>15.89</v>
      </c>
      <c r="L9" s="1">
        <f t="shared" si="2"/>
        <v>15.906179962398499</v>
      </c>
      <c r="M9" s="8">
        <f t="shared" si="0"/>
        <v>15.991089962398497</v>
      </c>
      <c r="N9" s="8">
        <f t="shared" si="1"/>
        <v>16.0364899623985</v>
      </c>
      <c r="S9" s="6"/>
      <c r="W9" s="8"/>
      <c r="AB9" s="1">
        <v>15.41</v>
      </c>
      <c r="AC9" s="1">
        <v>15.4</v>
      </c>
      <c r="AD9" s="1">
        <v>15.7</v>
      </c>
      <c r="AE9" s="1">
        <v>14.8</v>
      </c>
      <c r="AF9" s="1">
        <v>14.7</v>
      </c>
    </row>
    <row r="10" spans="10:32" ht="12.75">
      <c r="J10" s="7">
        <v>289</v>
      </c>
      <c r="K10">
        <v>15.74</v>
      </c>
      <c r="L10" s="1">
        <f t="shared" si="2"/>
        <v>15.69383927155565</v>
      </c>
      <c r="M10" s="8">
        <f t="shared" si="0"/>
        <v>15.79920927155565</v>
      </c>
      <c r="N10" s="8">
        <f t="shared" si="1"/>
        <v>15.857009271555649</v>
      </c>
      <c r="S10" s="6"/>
      <c r="AB10" s="1">
        <v>15.47</v>
      </c>
      <c r="AC10" s="1">
        <v>14.5</v>
      </c>
      <c r="AD10" s="1">
        <v>17</v>
      </c>
      <c r="AE10" s="1">
        <v>14.5</v>
      </c>
      <c r="AF10" s="1">
        <v>14.3</v>
      </c>
    </row>
    <row r="11" spans="10:14" ht="12.75">
      <c r="J11" s="7">
        <v>351</v>
      </c>
      <c r="K11">
        <v>15.61</v>
      </c>
      <c r="L11" s="1">
        <f t="shared" si="2"/>
        <v>15.520441345029798</v>
      </c>
      <c r="M11" s="8">
        <f t="shared" si="0"/>
        <v>15.646271345029799</v>
      </c>
      <c r="N11" s="8">
        <f t="shared" si="1"/>
        <v>15.716471345029799</v>
      </c>
    </row>
    <row r="12" spans="10:14" ht="12.75">
      <c r="J12" s="7">
        <v>415</v>
      </c>
      <c r="K12">
        <v>15.44</v>
      </c>
      <c r="L12" s="1">
        <f t="shared" si="2"/>
        <v>15.374205333861283</v>
      </c>
      <c r="M12" s="8">
        <f t="shared" si="0"/>
        <v>15.521155333861284</v>
      </c>
      <c r="N12" s="8">
        <f t="shared" si="1"/>
        <v>15.604155333861284</v>
      </c>
    </row>
    <row r="13" spans="10:14" ht="12.75">
      <c r="J13" s="7">
        <v>477</v>
      </c>
      <c r="K13">
        <v>15.28</v>
      </c>
      <c r="L13" s="1">
        <f t="shared" si="2"/>
        <v>15.25727307141632</v>
      </c>
      <c r="M13" s="8">
        <f t="shared" si="0"/>
        <v>15.42468307141632</v>
      </c>
      <c r="N13" s="8">
        <f t="shared" si="1"/>
        <v>15.52008307141632</v>
      </c>
    </row>
    <row r="14" spans="10:14" ht="12.75">
      <c r="J14" s="7">
        <v>538</v>
      </c>
      <c r="K14">
        <v>15.15</v>
      </c>
      <c r="L14" s="1">
        <f t="shared" si="2"/>
        <v>15.16009736423063</v>
      </c>
      <c r="M14" s="8">
        <f t="shared" si="0"/>
        <v>15.34763736423063</v>
      </c>
      <c r="N14" s="8">
        <f t="shared" si="1"/>
        <v>15.45523736423063</v>
      </c>
    </row>
    <row r="15" spans="10:14" ht="12.75">
      <c r="J15" s="7">
        <v>600</v>
      </c>
      <c r="K15">
        <v>15.1</v>
      </c>
      <c r="L15" s="1">
        <f t="shared" si="2"/>
        <v>15.074379437873867</v>
      </c>
      <c r="M15" s="8">
        <f t="shared" si="0"/>
        <v>15.282379437873868</v>
      </c>
      <c r="N15" s="8">
        <f t="shared" si="1"/>
        <v>15.402379437873867</v>
      </c>
    </row>
    <row r="16" spans="10:14" ht="12.75">
      <c r="J16" s="7">
        <v>666</v>
      </c>
      <c r="K16">
        <v>15.01</v>
      </c>
      <c r="L16" s="1">
        <f t="shared" si="2"/>
        <v>14.992720791302405</v>
      </c>
      <c r="M16" s="8">
        <f t="shared" si="0"/>
        <v>15.222500791302405</v>
      </c>
      <c r="N16" s="8">
        <f t="shared" si="1"/>
        <v>15.355700791302406</v>
      </c>
    </row>
    <row r="17" spans="10:14" ht="12.75">
      <c r="J17" s="7">
        <v>731</v>
      </c>
      <c r="K17">
        <v>14.92</v>
      </c>
      <c r="L17" s="1">
        <f t="shared" si="2"/>
        <v>14.917910676927713</v>
      </c>
      <c r="M17" s="8">
        <f t="shared" si="0"/>
        <v>15.169140676927713</v>
      </c>
      <c r="N17" s="8">
        <f t="shared" si="1"/>
        <v>15.315340676927713</v>
      </c>
    </row>
    <row r="18" spans="10:14" ht="12.75">
      <c r="J18" s="7">
        <v>792</v>
      </c>
      <c r="K18">
        <v>14.81</v>
      </c>
      <c r="L18" s="1">
        <f t="shared" si="2"/>
        <v>14.849987402160004</v>
      </c>
      <c r="M18" s="8">
        <f t="shared" si="0"/>
        <v>15.121347402160003</v>
      </c>
      <c r="N18" s="8">
        <f t="shared" si="1"/>
        <v>15.279747402160003</v>
      </c>
    </row>
    <row r="19" spans="10:16" ht="15">
      <c r="J19" s="7">
        <v>853</v>
      </c>
      <c r="K19">
        <v>14.74</v>
      </c>
      <c r="L19" s="1">
        <f t="shared" si="2"/>
        <v>14.782458031963582</v>
      </c>
      <c r="M19" s="8">
        <f t="shared" si="0"/>
        <v>15.073948031963582</v>
      </c>
      <c r="N19" s="8">
        <f t="shared" si="1"/>
        <v>15.244548031963582</v>
      </c>
      <c r="P19" s="16"/>
    </row>
    <row r="20" spans="10:14" ht="12.75">
      <c r="J20" s="7">
        <v>918</v>
      </c>
      <c r="K20">
        <v>14.67</v>
      </c>
      <c r="L20" s="1">
        <f t="shared" si="2"/>
        <v>14.7098188378515</v>
      </c>
      <c r="M20" s="8">
        <f t="shared" si="0"/>
        <v>15.0227588378515</v>
      </c>
      <c r="N20" s="8">
        <f t="shared" si="1"/>
        <v>15.2063588378515</v>
      </c>
    </row>
    <row r="21" spans="10:14" ht="12.75">
      <c r="J21" s="7">
        <v>981</v>
      </c>
      <c r="K21">
        <v>14.61</v>
      </c>
      <c r="L21" s="1">
        <f t="shared" si="2"/>
        <v>14.638506681264293</v>
      </c>
      <c r="M21" s="8">
        <f t="shared" si="0"/>
        <v>14.972236681264292</v>
      </c>
      <c r="N21" s="8">
        <f t="shared" si="1"/>
        <v>15.168436681264293</v>
      </c>
    </row>
    <row r="22" spans="10:14" ht="12.75">
      <c r="J22" s="7">
        <v>1042</v>
      </c>
      <c r="K22">
        <v>14.55</v>
      </c>
      <c r="L22" s="1">
        <f t="shared" si="2"/>
        <v>14.569203333821015</v>
      </c>
      <c r="M22" s="8">
        <f t="shared" si="0"/>
        <v>14.923063333821014</v>
      </c>
      <c r="N22" s="8">
        <f t="shared" si="1"/>
        <v>15.131463333821015</v>
      </c>
    </row>
    <row r="23" spans="10:14" ht="12.75">
      <c r="J23" s="7">
        <v>1104</v>
      </c>
      <c r="K23">
        <v>14.45</v>
      </c>
      <c r="L23" s="1">
        <f t="shared" si="2"/>
        <v>14.499914345689907</v>
      </c>
      <c r="M23" s="8">
        <f t="shared" si="0"/>
        <v>14.874234345689906</v>
      </c>
      <c r="N23" s="8">
        <f t="shared" si="1"/>
        <v>15.095034345689907</v>
      </c>
    </row>
    <row r="24" spans="5:14" ht="12.75">
      <c r="E24" s="56" t="s">
        <v>84</v>
      </c>
      <c r="F24" s="56" t="s">
        <v>85</v>
      </c>
      <c r="J24" s="7">
        <v>1169</v>
      </c>
      <c r="K24">
        <v>14.53</v>
      </c>
      <c r="L24" s="1">
        <f t="shared" si="2"/>
        <v>14.430950585535705</v>
      </c>
      <c r="M24" s="8">
        <f t="shared" si="0"/>
        <v>14.826720585535705</v>
      </c>
      <c r="N24" s="8">
        <f t="shared" si="1"/>
        <v>15.060520585535704</v>
      </c>
    </row>
    <row r="25" spans="4:15" ht="12.75">
      <c r="D25" t="s">
        <v>0</v>
      </c>
      <c r="E25" s="1">
        <v>101</v>
      </c>
      <c r="F25" s="55">
        <f>(E27-L28)*100</f>
        <v>16.025883921740736</v>
      </c>
      <c r="G25" s="14">
        <f>J16</f>
        <v>666</v>
      </c>
      <c r="H25" s="12">
        <f>VLOOKUP(G25,$J$3:$K$27,2,FALSE)</f>
        <v>15.01</v>
      </c>
      <c r="I25" s="12">
        <f>(1+H25/100)^(G25/252)</f>
        <v>1.4471565792679637</v>
      </c>
      <c r="J25" s="7">
        <v>1232</v>
      </c>
      <c r="K25">
        <v>14.4</v>
      </c>
      <c r="L25" s="1">
        <f t="shared" si="2"/>
        <v>14.370984202273156</v>
      </c>
      <c r="M25" s="8">
        <f t="shared" si="0"/>
        <v>14.787544202273157</v>
      </c>
      <c r="N25" s="8">
        <f t="shared" si="1"/>
        <v>15.033944202273156</v>
      </c>
      <c r="O25" s="8"/>
    </row>
    <row r="26" spans="4:15" ht="12.75">
      <c r="D26" t="s">
        <v>14</v>
      </c>
      <c r="E26" s="51">
        <v>15.5</v>
      </c>
      <c r="G26" s="14">
        <f>J17</f>
        <v>731</v>
      </c>
      <c r="H26" s="12">
        <f>VLOOKUP(G26,$J$3:$K$27,2,FALSE)</f>
        <v>14.92</v>
      </c>
      <c r="I26" s="12">
        <f>(1+H26/100)^(G26/252)</f>
        <v>1.4969083923890383</v>
      </c>
      <c r="J26" s="7">
        <v>1356</v>
      </c>
      <c r="K26">
        <v>14.33</v>
      </c>
      <c r="L26" s="1">
        <f t="shared" si="2"/>
        <v>14.28944809623088</v>
      </c>
      <c r="M26" s="8">
        <f t="shared" si="0"/>
        <v>14.74692809623088</v>
      </c>
      <c r="N26" s="8">
        <f t="shared" si="1"/>
        <v>15.01812809623088</v>
      </c>
      <c r="O26" s="8"/>
    </row>
    <row r="27" spans="4:15" ht="12.75">
      <c r="D27" t="s">
        <v>15</v>
      </c>
      <c r="E27" s="51">
        <f>(((((1+L28/100)^(1/252)-1))*(E25/100)+1)^252-1)*100</f>
        <v>15.113374515953337</v>
      </c>
      <c r="F27" s="2"/>
      <c r="G27" s="13" t="s">
        <v>79</v>
      </c>
      <c r="H27" s="12">
        <f>(I27^(252/(G26-G25))-1)*100</f>
        <v>14.001894123934688</v>
      </c>
      <c r="I27" s="17">
        <f>I26/I25</f>
        <v>1.0343790118041278</v>
      </c>
      <c r="J27" s="7">
        <v>1483</v>
      </c>
      <c r="K27">
        <v>14.25</v>
      </c>
      <c r="L27" s="1">
        <f t="shared" si="2"/>
        <v>14.293443016056615</v>
      </c>
      <c r="M27" s="8">
        <f t="shared" si="0"/>
        <v>14.792833016056615</v>
      </c>
      <c r="N27" s="8">
        <f t="shared" si="1"/>
        <v>15.089433016056615</v>
      </c>
      <c r="O27" s="8"/>
    </row>
    <row r="28" spans="7:15" ht="12.75">
      <c r="G28" s="13"/>
      <c r="H28" s="11"/>
      <c r="I28" s="11"/>
      <c r="J28">
        <v>700</v>
      </c>
      <c r="L28" s="1">
        <f t="shared" si="2"/>
        <v>14.95311567673593</v>
      </c>
      <c r="M28" s="8"/>
      <c r="N28" s="8"/>
      <c r="O28" s="8">
        <f>L28+F25/100</f>
        <v>15.113374515953337</v>
      </c>
    </row>
    <row r="29" spans="4:9" ht="12.75">
      <c r="D29" t="s">
        <v>13</v>
      </c>
      <c r="E29" s="5">
        <f>1000/(1+E26/100)^(J28/252)</f>
        <v>670.133231580583</v>
      </c>
      <c r="G29" s="13" t="s">
        <v>86</v>
      </c>
      <c r="H29" s="12">
        <f>(I29^(252/J28)-1)*100</f>
        <v>14.960829510163332</v>
      </c>
      <c r="I29" s="54">
        <f>I25*I27^((J28-G25)/(G26-G25))</f>
        <v>1.4729707935854528</v>
      </c>
    </row>
    <row r="30" spans="4:9" ht="12.75">
      <c r="D30" t="s">
        <v>12</v>
      </c>
      <c r="E30" s="5">
        <f>1000/(1+E27/100)^(J28/252)</f>
        <v>676.4039761531612</v>
      </c>
      <c r="G30" s="13" t="s">
        <v>87</v>
      </c>
      <c r="H30" s="17">
        <f>cubic_spline(J3:J27,K3:K27,J28)</f>
        <v>14.965032760612898</v>
      </c>
      <c r="I30" s="11"/>
    </row>
    <row r="31" spans="7:8" ht="12.75">
      <c r="G31" s="13" t="s">
        <v>80</v>
      </c>
      <c r="H31" s="17">
        <f>L28</f>
        <v>14.95311567673593</v>
      </c>
    </row>
    <row r="37" ht="12.75">
      <c r="K37" s="7"/>
    </row>
    <row r="38" ht="12.75">
      <c r="K38" s="1"/>
    </row>
    <row r="39" ht="12.75">
      <c r="J39" s="7"/>
    </row>
    <row r="40" ht="12.75">
      <c r="J40" s="7"/>
    </row>
    <row r="41" ht="12.75">
      <c r="J41" s="7"/>
    </row>
    <row r="42" ht="12.75">
      <c r="J42" s="7"/>
    </row>
    <row r="43" spans="10:14" ht="12.75">
      <c r="J43" s="7"/>
      <c r="M43" s="7"/>
      <c r="N43" s="9"/>
    </row>
    <row r="44" spans="10:14" ht="12.75">
      <c r="J44" s="7"/>
      <c r="M44" s="7"/>
      <c r="N44" s="9"/>
    </row>
    <row r="45" spans="10:14" ht="12.75">
      <c r="J45" s="7"/>
      <c r="N45" s="7"/>
    </row>
    <row r="46" spans="10:14" ht="12.75">
      <c r="J46" s="7"/>
      <c r="N46" s="9"/>
    </row>
    <row r="47" ht="12.75">
      <c r="J47" s="7"/>
    </row>
    <row r="48" ht="12.75">
      <c r="J48" s="7"/>
    </row>
    <row r="49" ht="12.75">
      <c r="J49" s="7"/>
    </row>
    <row r="50" ht="12.75"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</sheetData>
  <sheetProtection/>
  <printOptions horizontalCentered="1"/>
  <pageMargins left="0.44" right="0.4724409448818898" top="0.7480314960629921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J4:Q24"/>
  <sheetViews>
    <sheetView tabSelected="1" zoomScalePageLayoutView="0" workbookViewId="0" topLeftCell="A3">
      <selection activeCell="O19" sqref="O19"/>
    </sheetView>
  </sheetViews>
  <sheetFormatPr defaultColWidth="9.140625" defaultRowHeight="12.75"/>
  <cols>
    <col min="3" max="3" width="9.28125" style="0" customWidth="1"/>
    <col min="6" max="6" width="9.28125" style="0" customWidth="1"/>
    <col min="10" max="10" width="11.00390625" style="0" customWidth="1"/>
    <col min="11" max="11" width="10.57421875" style="0" bestFit="1" customWidth="1"/>
    <col min="12" max="12" width="9.8515625" style="0" customWidth="1"/>
    <col min="13" max="13" width="13.140625" style="0" bestFit="1" customWidth="1"/>
    <col min="15" max="15" width="13.140625" style="0" bestFit="1" customWidth="1"/>
  </cols>
  <sheetData>
    <row r="4" spans="10:13" ht="12.75">
      <c r="J4" s="4" t="s">
        <v>2</v>
      </c>
      <c r="K4" s="4" t="s">
        <v>4</v>
      </c>
      <c r="L4" s="4" t="s">
        <v>3</v>
      </c>
      <c r="M4" s="4" t="s">
        <v>5</v>
      </c>
    </row>
    <row r="5" spans="10:12" ht="12.75">
      <c r="J5">
        <f>Plan1!J3+1</f>
        <v>19</v>
      </c>
      <c r="K5">
        <v>23.44</v>
      </c>
      <c r="L5" s="1">
        <f>$M$20*J5^4+$M$21*J5^3+$M$22*J5^2+$M$23*J5+$M$24</f>
        <v>24.261629007863597</v>
      </c>
    </row>
    <row r="6" spans="10:12" ht="12.75">
      <c r="J6">
        <f>Plan1!J4+1</f>
        <v>42</v>
      </c>
      <c r="K6">
        <v>24.86</v>
      </c>
      <c r="L6" s="1">
        <f aca="true" t="shared" si="0" ref="L6:L13">$M$20*J6^4+$M$21*J6^3+$M$22*J6^2+$M$23*J6+$M$24</f>
        <v>25.723960616091716</v>
      </c>
    </row>
    <row r="7" spans="10:12" ht="12.75">
      <c r="J7">
        <f>Plan1!J5+1</f>
        <v>60</v>
      </c>
      <c r="K7">
        <v>26.03</v>
      </c>
      <c r="L7" s="1">
        <f t="shared" si="0"/>
        <v>26.75744279529668</v>
      </c>
    </row>
    <row r="8" spans="10:12" ht="12.75">
      <c r="J8">
        <f>Plan1!J6+1</f>
        <v>82</v>
      </c>
      <c r="K8">
        <v>26.8</v>
      </c>
      <c r="L8" s="1">
        <f t="shared" si="0"/>
        <v>27.866672225622356</v>
      </c>
    </row>
    <row r="9" spans="10:12" ht="12.75">
      <c r="J9">
        <f>Plan1!J7+1</f>
        <v>103</v>
      </c>
      <c r="K9">
        <v>28.7</v>
      </c>
      <c r="L9" s="1">
        <f t="shared" si="0"/>
        <v>28.75743740337593</v>
      </c>
    </row>
    <row r="10" spans="10:12" ht="12.75">
      <c r="J10">
        <f>Plan1!J8+1</f>
        <v>167</v>
      </c>
      <c r="K10">
        <v>30.1</v>
      </c>
      <c r="L10" s="1">
        <f t="shared" si="0"/>
        <v>30.531787440289342</v>
      </c>
    </row>
    <row r="11" spans="10:12" ht="12.75">
      <c r="J11">
        <f>Plan1!J9+1</f>
        <v>228</v>
      </c>
      <c r="K11">
        <v>31.39</v>
      </c>
      <c r="L11" s="1">
        <f t="shared" si="0"/>
        <v>31.50219493117081</v>
      </c>
    </row>
    <row r="12" spans="10:12" ht="12.75">
      <c r="J12">
        <f>Plan1!J10+1</f>
        <v>290</v>
      </c>
      <c r="K12">
        <v>32.75</v>
      </c>
      <c r="L12" s="1">
        <f t="shared" si="0"/>
        <v>33.26168077010802</v>
      </c>
    </row>
    <row r="13" spans="10:13" ht="12.75">
      <c r="J13">
        <v>140</v>
      </c>
      <c r="L13" s="1">
        <f t="shared" si="0"/>
        <v>29.93736363224532</v>
      </c>
      <c r="M13" s="1">
        <f>K17*100</f>
        <v>29.937363632248083</v>
      </c>
    </row>
    <row r="15" spans="10:17" ht="12.75">
      <c r="J15" t="s">
        <v>0</v>
      </c>
      <c r="K15" s="3">
        <v>0</v>
      </c>
      <c r="L15" t="s">
        <v>1</v>
      </c>
      <c r="O15" s="11">
        <f>J9</f>
        <v>103</v>
      </c>
      <c r="P15" s="11">
        <f>K9</f>
        <v>28.7</v>
      </c>
      <c r="Q15" s="12">
        <f>(1+P15/100)^(O15/252)</f>
        <v>1.1086336510534078</v>
      </c>
    </row>
    <row r="16" spans="10:17" ht="12.75">
      <c r="J16" t="s">
        <v>14</v>
      </c>
      <c r="K16" s="3">
        <f>Plan1!E26</f>
        <v>15.5</v>
      </c>
      <c r="O16" s="11">
        <f>J10</f>
        <v>167</v>
      </c>
      <c r="P16" s="11">
        <f>K10</f>
        <v>30.1</v>
      </c>
      <c r="Q16" s="12">
        <f>(1+P16/100)^(O16/252)</f>
        <v>1.1905054366833467</v>
      </c>
    </row>
    <row r="17" spans="10:17" ht="12.75">
      <c r="J17" t="s">
        <v>15</v>
      </c>
      <c r="K17" s="2">
        <f>((((1+L13/100)^(1/252)-1))*(1+K15)+1)^252-1</f>
        <v>0.2993736363224808</v>
      </c>
      <c r="O17" s="13" t="s">
        <v>22</v>
      </c>
      <c r="P17" s="12">
        <f>(Q17^(252/(O16-O15))-1)*100</f>
        <v>32.38517284410034</v>
      </c>
      <c r="Q17" s="11">
        <f>Q16/Q15</f>
        <v>1.0738492698215911</v>
      </c>
    </row>
    <row r="18" spans="15:17" ht="12.75">
      <c r="O18" s="13" t="s">
        <v>23</v>
      </c>
      <c r="P18" s="11"/>
      <c r="Q18" s="11"/>
    </row>
    <row r="19" spans="10:17" ht="12.75">
      <c r="J19" t="s">
        <v>13</v>
      </c>
      <c r="K19" s="5">
        <f>1000/(1+K16)^(J13/252)</f>
        <v>210.67840948366097</v>
      </c>
      <c r="M19" t="s">
        <v>6</v>
      </c>
      <c r="O19" s="11">
        <f>J13</f>
        <v>140</v>
      </c>
      <c r="P19" s="12">
        <f>(Q19^(252/O19)-1)*100</f>
        <v>29.663846584408926</v>
      </c>
      <c r="Q19" s="11">
        <f>Q15*Q17^((O19-O15)/(O16-O15))</f>
        <v>1.1552531657978797</v>
      </c>
    </row>
    <row r="20" spans="10:14" ht="12.75">
      <c r="J20" t="s">
        <v>12</v>
      </c>
      <c r="K20" s="5">
        <f>1000/(1+K17)^(J13/252)</f>
        <v>864.5983774380052</v>
      </c>
      <c r="M20">
        <v>2.457369E-09</v>
      </c>
      <c r="N20" s="4" t="s">
        <v>7</v>
      </c>
    </row>
    <row r="21" spans="13:14" ht="12.75">
      <c r="M21">
        <v>-8.88742334E-07</v>
      </c>
      <c r="N21" s="4" t="s">
        <v>8</v>
      </c>
    </row>
    <row r="22" spans="13:14" ht="12.75">
      <c r="M22">
        <v>-6.7826017768E-05</v>
      </c>
      <c r="N22" s="4" t="s">
        <v>9</v>
      </c>
    </row>
    <row r="23" spans="13:14" ht="12.75">
      <c r="M23">
        <v>0.069996279609858</v>
      </c>
      <c r="N23" s="4" t="s">
        <v>10</v>
      </c>
    </row>
    <row r="24" spans="13:14" ht="12.75">
      <c r="M24">
        <v>22.961960524574</v>
      </c>
      <c r="N24" s="4" t="s">
        <v>11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J4:Q2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28125" style="0" customWidth="1"/>
    <col min="6" max="6" width="9.28125" style="0" customWidth="1"/>
    <col min="10" max="10" width="11.00390625" style="0" customWidth="1"/>
    <col min="11" max="11" width="10.57421875" style="0" bestFit="1" customWidth="1"/>
    <col min="12" max="12" width="9.8515625" style="0" customWidth="1"/>
    <col min="13" max="13" width="13.140625" style="0" bestFit="1" customWidth="1"/>
    <col min="15" max="15" width="13.140625" style="0" bestFit="1" customWidth="1"/>
  </cols>
  <sheetData>
    <row r="4" spans="10:13" ht="12.75">
      <c r="J4" s="4" t="s">
        <v>2</v>
      </c>
      <c r="K4" s="4" t="s">
        <v>4</v>
      </c>
      <c r="L4" s="4" t="s">
        <v>3</v>
      </c>
      <c r="M4" s="4" t="s">
        <v>5</v>
      </c>
    </row>
    <row r="5" spans="10:12" ht="12.75">
      <c r="J5">
        <f>Plan2!J5+1</f>
        <v>20</v>
      </c>
      <c r="K5">
        <v>23.22</v>
      </c>
      <c r="L5" s="1">
        <f>$M$20*J5^4+$M$21*J5^3+$M$22*J5^2+$M$23*J5+$M$24</f>
        <v>24.023237745391118</v>
      </c>
    </row>
    <row r="6" spans="10:12" ht="12.75">
      <c r="J6">
        <f>Plan2!J6+1</f>
        <v>43</v>
      </c>
      <c r="K6">
        <v>24.57</v>
      </c>
      <c r="L6" s="1">
        <f aca="true" t="shared" si="0" ref="L6:L13">$M$20*J6^4+$M$21*J6^3+$M$22*J6^2+$M$23*J6+$M$24</f>
        <v>25.425600738111157</v>
      </c>
    </row>
    <row r="7" spans="10:12" ht="12.75">
      <c r="J7">
        <f>Plan2!J7+1</f>
        <v>61</v>
      </c>
      <c r="K7">
        <v>25.75</v>
      </c>
      <c r="L7" s="1">
        <f t="shared" si="0"/>
        <v>26.39894258852463</v>
      </c>
    </row>
    <row r="8" spans="10:12" ht="12.75">
      <c r="J8">
        <f>Plan2!J8+1</f>
        <v>83</v>
      </c>
      <c r="K8">
        <v>26.45</v>
      </c>
      <c r="L8" s="1">
        <f t="shared" si="0"/>
        <v>27.443992147617358</v>
      </c>
    </row>
    <row r="9" spans="10:12" ht="12.75">
      <c r="J9">
        <f>Plan2!J9+1</f>
        <v>104</v>
      </c>
      <c r="K9">
        <v>28.2</v>
      </c>
      <c r="L9" s="1">
        <f t="shared" si="0"/>
        <v>28.30094209284665</v>
      </c>
    </row>
    <row r="10" spans="10:12" ht="12.75">
      <c r="J10">
        <f>Plan2!J10+1</f>
        <v>168</v>
      </c>
      <c r="K10">
        <v>29.75</v>
      </c>
      <c r="L10" s="1">
        <f t="shared" si="0"/>
        <v>30.215897735494906</v>
      </c>
    </row>
    <row r="11" spans="10:12" ht="12.75">
      <c r="J11">
        <f>Plan2!J11+1</f>
        <v>229</v>
      </c>
      <c r="K11">
        <v>31.35</v>
      </c>
      <c r="L11" s="1">
        <f t="shared" si="0"/>
        <v>31.527271131459152</v>
      </c>
    </row>
    <row r="12" spans="10:12" ht="12.75">
      <c r="J12">
        <f>Plan2!J12+1</f>
        <v>291</v>
      </c>
      <c r="K12">
        <v>32.8</v>
      </c>
      <c r="L12" s="1">
        <f t="shared" si="0"/>
        <v>33.21692796334246</v>
      </c>
    </row>
    <row r="13" spans="10:13" ht="12.75">
      <c r="J13">
        <f>Plan2!J13+1</f>
        <v>141</v>
      </c>
      <c r="L13" s="1">
        <f t="shared" si="0"/>
        <v>29.51666232786631</v>
      </c>
      <c r="M13" s="1">
        <f>K17*100</f>
        <v>30.862819381531146</v>
      </c>
    </row>
    <row r="15" spans="10:17" ht="12.75">
      <c r="J15" t="s">
        <v>0</v>
      </c>
      <c r="K15" s="3">
        <v>0.04</v>
      </c>
      <c r="L15" t="s">
        <v>1</v>
      </c>
      <c r="O15" s="11">
        <f>J9</f>
        <v>104</v>
      </c>
      <c r="P15" s="11">
        <f>K9</f>
        <v>28.2</v>
      </c>
      <c r="Q15" s="12">
        <f>(1+P15/100)^(O15/252)</f>
        <v>1.1079628959257095</v>
      </c>
    </row>
    <row r="16" spans="10:17" ht="12.75">
      <c r="J16" t="s">
        <v>14</v>
      </c>
      <c r="K16" s="3">
        <f>Plan1!E26</f>
        <v>15.5</v>
      </c>
      <c r="O16" s="11">
        <f>J10</f>
        <v>168</v>
      </c>
      <c r="P16" s="11">
        <f>K10</f>
        <v>29.75</v>
      </c>
      <c r="Q16" s="12">
        <f>(1+P16/100)^(O16/252)</f>
        <v>1.1896108347771983</v>
      </c>
    </row>
    <row r="17" spans="10:17" ht="12.75">
      <c r="J17" t="s">
        <v>15</v>
      </c>
      <c r="K17" s="2">
        <f>((((1+L13/100)^(1/252)-1))*(1+K15)+1)^252-1</f>
        <v>0.3086281938153115</v>
      </c>
      <c r="O17" s="13" t="s">
        <v>22</v>
      </c>
      <c r="P17" s="12">
        <f>(Q17^(252/(O16-O15))-1)*100</f>
        <v>32.30882000193376</v>
      </c>
      <c r="Q17" s="11">
        <f>Q16/Q15</f>
        <v>1.0736919432516479</v>
      </c>
    </row>
    <row r="18" spans="15:17" ht="12.75">
      <c r="O18" s="13" t="s">
        <v>23</v>
      </c>
      <c r="P18" s="11"/>
      <c r="Q18" s="11"/>
    </row>
    <row r="19" spans="10:17" ht="12.75">
      <c r="J19" t="s">
        <v>13</v>
      </c>
      <c r="K19" s="5">
        <f>1000/(1+K16)^(J13/252)</f>
        <v>208.3477167716852</v>
      </c>
      <c r="M19" t="s">
        <v>6</v>
      </c>
      <c r="O19" s="11">
        <f>J13</f>
        <v>141</v>
      </c>
      <c r="P19" s="12">
        <f>(Q19^(252/O19)-1)*100</f>
        <v>29.26568828604865</v>
      </c>
      <c r="Q19" s="11">
        <f>Q15*Q17^((O19-O15)/(O16-O15))</f>
        <v>1.1544564114201599</v>
      </c>
    </row>
    <row r="20" spans="10:14" ht="12.75">
      <c r="J20" t="s">
        <v>12</v>
      </c>
      <c r="K20" s="5">
        <f>1000/(1+K17)^(J13/252)</f>
        <v>860.2774003631511</v>
      </c>
      <c r="M20">
        <v>9.37012E-10</v>
      </c>
      <c r="N20" s="4" t="s">
        <v>7</v>
      </c>
    </row>
    <row r="21" spans="13:14" ht="12.75">
      <c r="M21">
        <v>-1.31570906E-07</v>
      </c>
      <c r="N21" s="4" t="s">
        <v>8</v>
      </c>
    </row>
    <row r="22" spans="13:14" ht="12.75">
      <c r="M22">
        <v>-0.000161923907125</v>
      </c>
      <c r="N22" s="4" t="s">
        <v>9</v>
      </c>
    </row>
    <row r="23" spans="13:14" ht="12.75">
      <c r="M23">
        <v>0.071449801707691</v>
      </c>
      <c r="N23" s="4" t="s">
        <v>10</v>
      </c>
    </row>
    <row r="24" spans="13:14" ht="12.75">
      <c r="M24">
        <v>22.6599139194153</v>
      </c>
      <c r="N24" s="4" t="s">
        <v>11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8515625" style="0" bestFit="1" customWidth="1"/>
    <col min="2" max="2" width="10.28125" style="0" bestFit="1" customWidth="1"/>
    <col min="4" max="5" width="12.8515625" style="0" bestFit="1" customWidth="1"/>
    <col min="6" max="6" width="10.28125" style="0" bestFit="1" customWidth="1"/>
    <col min="7" max="7" width="12.8515625" style="0" bestFit="1" customWidth="1"/>
    <col min="9" max="9" width="12.8515625" style="0" bestFit="1" customWidth="1"/>
    <col min="10" max="12" width="11.28125" style="0" bestFit="1" customWidth="1"/>
    <col min="13" max="13" width="12.28125" style="0" bestFit="1" customWidth="1"/>
  </cols>
  <sheetData>
    <row r="1" spans="2:10" ht="12.75">
      <c r="B1" s="42" t="s">
        <v>48</v>
      </c>
      <c r="D1" t="s">
        <v>56</v>
      </c>
      <c r="E1" s="34">
        <v>0</v>
      </c>
      <c r="I1" s="57" t="s">
        <v>89</v>
      </c>
      <c r="J1" s="57" t="s">
        <v>90</v>
      </c>
    </row>
    <row r="2" spans="1:10" ht="12.75">
      <c r="A2" s="42" t="s">
        <v>54</v>
      </c>
      <c r="B2" s="44">
        <v>400000</v>
      </c>
      <c r="C2" s="4" t="s">
        <v>41</v>
      </c>
      <c r="D2" s="58" t="s">
        <v>92</v>
      </c>
      <c r="E2" s="4" t="s">
        <v>51</v>
      </c>
      <c r="F2" s="4" t="s">
        <v>29</v>
      </c>
      <c r="I2">
        <v>400000</v>
      </c>
      <c r="J2" s="1">
        <v>650000</v>
      </c>
    </row>
    <row r="3" spans="1:12" ht="12.75">
      <c r="A3" s="42" t="s">
        <v>33</v>
      </c>
      <c r="B3" s="45">
        <v>172</v>
      </c>
      <c r="C3" s="1">
        <v>2.6</v>
      </c>
      <c r="D3" s="7">
        <f>C3*B2</f>
        <v>1040000</v>
      </c>
      <c r="E3" s="7">
        <f>$B$2*$B$7*(1+$B$4/100)^($B$3/252)</f>
        <v>972379.4298486235</v>
      </c>
      <c r="F3" s="9">
        <f>IF($B$5="Pré",E3-D3,D3-E3)</f>
        <v>67620.57015137654</v>
      </c>
      <c r="G3" t="str">
        <f>IF(F3&lt;0,$B$6,$B$5)</f>
        <v>PRE</v>
      </c>
      <c r="I3" s="8">
        <f>$I$2*C3</f>
        <v>1040000</v>
      </c>
      <c r="J3" s="7">
        <f>$J$2*(1+$B$4/100)^($B$3/252)</f>
        <v>702274.0326684503</v>
      </c>
      <c r="K3" s="8">
        <f>I3-J3</f>
        <v>337725.96733154973</v>
      </c>
      <c r="L3" s="8">
        <f>K3-F3</f>
        <v>270105.3971801732</v>
      </c>
    </row>
    <row r="4" spans="1:12" ht="12.75">
      <c r="A4" s="42" t="s">
        <v>42</v>
      </c>
      <c r="B4" s="46">
        <v>12</v>
      </c>
      <c r="C4" s="1">
        <v>2.5</v>
      </c>
      <c r="D4" s="7">
        <f>B2*C4</f>
        <v>1000000</v>
      </c>
      <c r="E4" s="7">
        <f>$B$2*$B$7*(1+$B$4/100)^($B$3/252)</f>
        <v>972379.4298486235</v>
      </c>
      <c r="F4" s="9">
        <f>IF($B$5="Pré",E4-D4,D4-E4)</f>
        <v>27620.570151376538</v>
      </c>
      <c r="G4" t="str">
        <f>IF(F4&lt;0,$B$6,$B$5)</f>
        <v>PRE</v>
      </c>
      <c r="I4" s="8">
        <f>$I$2*C4</f>
        <v>1000000</v>
      </c>
      <c r="J4" s="7">
        <f>$J$2*(1+$B$4/100)^($B$3/252)</f>
        <v>702274.0326684503</v>
      </c>
      <c r="K4" s="8">
        <f>I4-J4</f>
        <v>297725.96733154973</v>
      </c>
      <c r="L4" s="8">
        <f>K4-F4</f>
        <v>270105.3971801732</v>
      </c>
    </row>
    <row r="5" spans="1:12" ht="12.75">
      <c r="A5" s="42" t="s">
        <v>52</v>
      </c>
      <c r="B5" s="45" t="s">
        <v>91</v>
      </c>
      <c r="C5" s="1">
        <v>2.430948</v>
      </c>
      <c r="D5" s="7">
        <f>B2*C5</f>
        <v>972379.2</v>
      </c>
      <c r="E5" s="7">
        <f>$B$2*$B$7*(1+$B$4/100)^($B$3/252)</f>
        <v>972379.4298486235</v>
      </c>
      <c r="F5" s="9">
        <f>IF($B$5="Pré",E5-D5,D5-E5)</f>
        <v>-0.22984862350858748</v>
      </c>
      <c r="G5" s="57" t="s">
        <v>93</v>
      </c>
      <c r="I5" s="8">
        <f>$I$2*C5</f>
        <v>972379.2</v>
      </c>
      <c r="J5" s="7">
        <f>$J$2*(1+$B$4/100)^($B$3/252)</f>
        <v>702274.0326684503</v>
      </c>
      <c r="K5" s="8">
        <f>I5-J5</f>
        <v>270105.1673315497</v>
      </c>
      <c r="L5" s="8">
        <f>K5-F5</f>
        <v>270105.3971801732</v>
      </c>
    </row>
    <row r="6" spans="1:12" ht="12.75">
      <c r="A6" s="42" t="s">
        <v>53</v>
      </c>
      <c r="B6" s="45" t="s">
        <v>88</v>
      </c>
      <c r="C6" s="1">
        <v>2.1</v>
      </c>
      <c r="D6" s="7">
        <f>B2*C6</f>
        <v>840000</v>
      </c>
      <c r="E6" s="7">
        <f>$B$2*$B$7*(1+$B$4/100)^($B$3/252)</f>
        <v>972379.4298486235</v>
      </c>
      <c r="F6" s="9">
        <f>IF($B$5="Pré",E6-D6,D6-E6)</f>
        <v>-132379.42984862346</v>
      </c>
      <c r="G6" t="str">
        <f>IF(F6&lt;0,$B$6,$B$5)</f>
        <v>DÓLAR</v>
      </c>
      <c r="I6" s="8">
        <f>$I$2*C6</f>
        <v>840000</v>
      </c>
      <c r="J6" s="7">
        <f>$J$2*(1+$B$4/100)^($B$3/252)</f>
        <v>702274.0326684503</v>
      </c>
      <c r="K6" s="8">
        <f>I6-J6</f>
        <v>137725.96733154973</v>
      </c>
      <c r="L6" s="8">
        <f>K6-F6</f>
        <v>270105.3971801732</v>
      </c>
    </row>
    <row r="7" ht="12.75">
      <c r="B7" s="45">
        <v>2.25</v>
      </c>
    </row>
    <row r="30" spans="1:9" ht="12.75">
      <c r="A30" s="41" t="s">
        <v>5</v>
      </c>
      <c r="B30" s="41" t="s">
        <v>42</v>
      </c>
      <c r="C30" t="s">
        <v>44</v>
      </c>
      <c r="E30" t="s">
        <v>58</v>
      </c>
      <c r="F30" t="s">
        <v>46</v>
      </c>
      <c r="G30" t="s">
        <v>57</v>
      </c>
      <c r="H30" t="s">
        <v>47</v>
      </c>
      <c r="I30" t="s">
        <v>55</v>
      </c>
    </row>
    <row r="31" spans="1:9" ht="12.75">
      <c r="A31" t="s">
        <v>49</v>
      </c>
      <c r="B31" s="7">
        <v>1160</v>
      </c>
      <c r="C31" s="8">
        <f>C3</f>
        <v>2.6</v>
      </c>
      <c r="E31" s="7">
        <f>$B$32*(1+C3/100)^($B$3/252)</f>
        <v>1024950.0455795302</v>
      </c>
      <c r="F31" s="7">
        <f>B31*1000</f>
        <v>1160000</v>
      </c>
      <c r="G31" s="9">
        <f>F31-E31</f>
        <v>135049.95442046982</v>
      </c>
      <c r="H31" s="9">
        <f>F3</f>
        <v>67620.57015137654</v>
      </c>
      <c r="I31" s="9">
        <f>H31+G31</f>
        <v>202670.52457184636</v>
      </c>
    </row>
    <row r="32" spans="1:9" ht="12.75">
      <c r="A32" t="s">
        <v>45</v>
      </c>
      <c r="B32" s="7">
        <f>1000/(1+B33/100)^($B$3/252)*B31</f>
        <v>1007150.0601502057</v>
      </c>
      <c r="C32" s="8">
        <f>C4</f>
        <v>2.5</v>
      </c>
      <c r="E32" s="7">
        <f>$B$32*(1+C4/100)^($B$3/252)</f>
        <v>1024268.098840892</v>
      </c>
      <c r="F32" s="7">
        <f>F31</f>
        <v>1160000</v>
      </c>
      <c r="G32" s="9">
        <f>F32-E32</f>
        <v>135731.90115910803</v>
      </c>
      <c r="H32" s="9">
        <f>F4</f>
        <v>27620.570151376538</v>
      </c>
      <c r="I32" s="9">
        <f>H32+G32</f>
        <v>163352.47131048457</v>
      </c>
    </row>
    <row r="33" spans="1:9" ht="12.75">
      <c r="A33" s="4" t="s">
        <v>43</v>
      </c>
      <c r="B33" s="1">
        <v>23</v>
      </c>
      <c r="C33" s="8">
        <f>C5</f>
        <v>2.430948</v>
      </c>
      <c r="E33" s="7">
        <f>$B$32*(1+C5/100)^($B$3/252)</f>
        <v>1023797.0776990084</v>
      </c>
      <c r="F33" s="7">
        <f>F32</f>
        <v>1160000</v>
      </c>
      <c r="G33" s="9">
        <f>F33-E33</f>
        <v>136202.9223009916</v>
      </c>
      <c r="H33" s="9">
        <f>F5</f>
        <v>-0.22984862350858748</v>
      </c>
      <c r="I33" s="9">
        <f>H33+G33</f>
        <v>136202.6924523681</v>
      </c>
    </row>
    <row r="34" spans="3:9" ht="12.75">
      <c r="C34" s="8">
        <f>C6</f>
        <v>2.1</v>
      </c>
      <c r="E34" s="7">
        <f>$B$32*(1+C6/100)^($B$3/252)</f>
        <v>1021538.1967299222</v>
      </c>
      <c r="F34" s="7">
        <f>F33</f>
        <v>1160000</v>
      </c>
      <c r="G34" s="9">
        <f>F34-E34</f>
        <v>138461.8032700778</v>
      </c>
      <c r="H34" s="9">
        <f>F6</f>
        <v>-132379.42984862346</v>
      </c>
      <c r="I34" s="9">
        <f>H34+G34</f>
        <v>6082.3734214543365</v>
      </c>
    </row>
    <row r="37" spans="1:11" ht="12.75">
      <c r="A37" s="41" t="s">
        <v>5</v>
      </c>
      <c r="B37" s="41" t="s">
        <v>42</v>
      </c>
      <c r="C37" t="s">
        <v>41</v>
      </c>
      <c r="E37" t="s">
        <v>45</v>
      </c>
      <c r="F37" t="s">
        <v>46</v>
      </c>
      <c r="G37" t="s">
        <v>57</v>
      </c>
      <c r="H37" t="s">
        <v>47</v>
      </c>
      <c r="I37" t="s">
        <v>55</v>
      </c>
      <c r="J37" t="s">
        <v>50</v>
      </c>
      <c r="K37" t="s">
        <v>59</v>
      </c>
    </row>
    <row r="38" spans="1:11" ht="12.75">
      <c r="A38" t="s">
        <v>49</v>
      </c>
      <c r="B38" s="7">
        <v>1160</v>
      </c>
      <c r="C38" s="8">
        <f>C3</f>
        <v>2.6</v>
      </c>
      <c r="E38" s="7">
        <f>B2</f>
        <v>400000</v>
      </c>
      <c r="F38" s="7">
        <f>B38*1000</f>
        <v>1160000</v>
      </c>
      <c r="G38" s="9">
        <f>F38-E38</f>
        <v>760000</v>
      </c>
      <c r="H38" s="9">
        <f>F3</f>
        <v>67620.57015137654</v>
      </c>
      <c r="I38" s="9">
        <f>H38+G38</f>
        <v>827620.5701513765</v>
      </c>
      <c r="J38" s="9">
        <f>E38+I38</f>
        <v>1227620.5701513765</v>
      </c>
      <c r="K38" s="9">
        <f>J38-E31</f>
        <v>202670.52457184636</v>
      </c>
    </row>
    <row r="39" spans="1:11" ht="12.75">
      <c r="A39" t="s">
        <v>45</v>
      </c>
      <c r="B39" s="7">
        <f>1000/(1+B40/100)^($B$3/252)*B38</f>
        <v>1007150.0601502057</v>
      </c>
      <c r="C39" s="8">
        <f>C4</f>
        <v>2.5</v>
      </c>
      <c r="E39" s="7">
        <f>E38</f>
        <v>400000</v>
      </c>
      <c r="F39" s="7">
        <f>F38</f>
        <v>1160000</v>
      </c>
      <c r="G39" s="9">
        <f>F39-E39</f>
        <v>760000</v>
      </c>
      <c r="H39" s="9">
        <f>F4</f>
        <v>27620.570151376538</v>
      </c>
      <c r="I39" s="9">
        <f>H39+G39</f>
        <v>787620.5701513765</v>
      </c>
      <c r="J39" s="9">
        <f>E39+I39</f>
        <v>1187620.5701513765</v>
      </c>
      <c r="K39" s="9">
        <f>J39-E32</f>
        <v>163352.47131048457</v>
      </c>
    </row>
    <row r="40" spans="1:11" ht="12.75">
      <c r="A40" s="4" t="s">
        <v>43</v>
      </c>
      <c r="B40" s="1">
        <v>23</v>
      </c>
      <c r="C40" s="8">
        <f>C5</f>
        <v>2.430948</v>
      </c>
      <c r="E40" s="7">
        <f>E38</f>
        <v>400000</v>
      </c>
      <c r="F40" s="7">
        <f>F39</f>
        <v>1160000</v>
      </c>
      <c r="G40" s="9">
        <f>F40-E40</f>
        <v>760000</v>
      </c>
      <c r="H40" s="9">
        <f>F5</f>
        <v>-0.22984862350858748</v>
      </c>
      <c r="I40" s="9">
        <f>H40+G40</f>
        <v>759999.7701513765</v>
      </c>
      <c r="J40" s="9">
        <f>E40+I40</f>
        <v>1159999.7701513765</v>
      </c>
      <c r="K40" s="9">
        <f>J40-E33</f>
        <v>136202.6924523681</v>
      </c>
    </row>
    <row r="41" spans="3:11" ht="12.75">
      <c r="C41" s="8">
        <f>C6</f>
        <v>2.1</v>
      </c>
      <c r="E41" s="7">
        <f>E38</f>
        <v>400000</v>
      </c>
      <c r="F41" s="7">
        <f>F40</f>
        <v>1160000</v>
      </c>
      <c r="G41" s="9">
        <f>F41-E41</f>
        <v>760000</v>
      </c>
      <c r="H41" s="9">
        <f>F6</f>
        <v>-132379.42984862346</v>
      </c>
      <c r="I41" s="9">
        <f>H41+G41</f>
        <v>627620.5701513765</v>
      </c>
      <c r="J41" s="9">
        <f>E41+I41</f>
        <v>1027620.5701513765</v>
      </c>
      <c r="K41" s="9">
        <f>J41-E34</f>
        <v>6082.3734214543365</v>
      </c>
    </row>
  </sheetData>
  <sheetProtection/>
  <printOptions horizontalCentered="1"/>
  <pageMargins left="0.7874015748031497" right="0.7874015748031497" top="0.5118110236220472" bottom="0.6299212598425197" header="0.4330708661417323" footer="0.5118110236220472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2.8515625" style="0" bestFit="1" customWidth="1"/>
    <col min="3" max="3" width="9.28125" style="0" customWidth="1"/>
    <col min="6" max="6" width="9.28125" style="0" bestFit="1" customWidth="1"/>
    <col min="7" max="7" width="11.8515625" style="0" bestFit="1" customWidth="1"/>
    <col min="9" max="9" width="9.28125" style="0" bestFit="1" customWidth="1"/>
  </cols>
  <sheetData>
    <row r="3" spans="1:10" ht="13.5" thickBot="1">
      <c r="A3" s="49" t="s">
        <v>1</v>
      </c>
      <c r="B3">
        <v>18</v>
      </c>
      <c r="E3" s="49" t="s">
        <v>1</v>
      </c>
      <c r="F3">
        <f>B3</f>
        <v>18</v>
      </c>
      <c r="I3">
        <f>B3</f>
        <v>18</v>
      </c>
      <c r="J3" t="s">
        <v>1</v>
      </c>
    </row>
    <row r="4" spans="1:7" ht="12.75" customHeight="1">
      <c r="A4" s="49"/>
      <c r="D4" s="59" t="s">
        <v>69</v>
      </c>
      <c r="E4" s="49"/>
      <c r="G4" s="59" t="s">
        <v>70</v>
      </c>
    </row>
    <row r="5" spans="1:7" ht="12.75" customHeight="1">
      <c r="A5" s="49"/>
      <c r="D5" s="60"/>
      <c r="E5" s="49"/>
      <c r="G5" s="60"/>
    </row>
    <row r="6" spans="1:7" ht="13.5" customHeight="1" thickBot="1">
      <c r="A6" s="49"/>
      <c r="D6" s="61"/>
      <c r="E6" s="49"/>
      <c r="G6" s="61"/>
    </row>
    <row r="7" spans="1:10" ht="12.75">
      <c r="A7" s="49" t="s">
        <v>71</v>
      </c>
      <c r="B7">
        <v>16</v>
      </c>
      <c r="E7" s="49" t="s">
        <v>71</v>
      </c>
      <c r="F7">
        <f>B7</f>
        <v>16</v>
      </c>
      <c r="I7">
        <f>B7</f>
        <v>16</v>
      </c>
      <c r="J7" t="s">
        <v>71</v>
      </c>
    </row>
    <row r="8" spans="1:10" ht="12.75">
      <c r="A8" s="49" t="s">
        <v>72</v>
      </c>
      <c r="B8">
        <v>5</v>
      </c>
      <c r="E8" s="50" t="s">
        <v>72</v>
      </c>
      <c r="F8">
        <v>4.5</v>
      </c>
      <c r="I8">
        <v>4</v>
      </c>
      <c r="J8" t="s">
        <v>72</v>
      </c>
    </row>
    <row r="11" spans="1:3" ht="12.75">
      <c r="A11" t="s">
        <v>73</v>
      </c>
      <c r="C11" s="1"/>
    </row>
    <row r="12" spans="1:9" ht="12.75">
      <c r="A12" s="1">
        <v>1000000</v>
      </c>
      <c r="C12">
        <f>$A$12*(1+B3/100)</f>
        <v>1180000</v>
      </c>
      <c r="F12">
        <f>$A$12*(1+F3/100)</f>
        <v>1180000</v>
      </c>
      <c r="I12">
        <f>$A$12*(1+I3/100)</f>
        <v>1180000</v>
      </c>
    </row>
    <row r="13" spans="3:9" ht="12.75">
      <c r="C13">
        <f>A12/A18*(1+B8/100)*A19</f>
        <v>1217993.079584775</v>
      </c>
      <c r="F13">
        <f>A12/A18*(1+F8/100)*A19</f>
        <v>1212193.1125391333</v>
      </c>
      <c r="I13">
        <f>A12/A18*(1+I8/100)*A19</f>
        <v>1206393.1454934916</v>
      </c>
    </row>
    <row r="14" spans="1:9" ht="12.75">
      <c r="A14" t="s">
        <v>74</v>
      </c>
      <c r="C14" s="7"/>
      <c r="F14" s="7"/>
      <c r="I14" s="7"/>
    </row>
    <row r="15" ht="12.75">
      <c r="A15" t="s">
        <v>75</v>
      </c>
    </row>
    <row r="16" spans="3:9" ht="12.75">
      <c r="C16" s="9">
        <f>C13-C12</f>
        <v>37993.07958477503</v>
      </c>
      <c r="F16" s="9"/>
      <c r="I16" s="9">
        <f>I12-I13</f>
        <v>-26393.145493491553</v>
      </c>
    </row>
    <row r="17" spans="1:9" ht="12.75">
      <c r="A17" t="s">
        <v>76</v>
      </c>
      <c r="C17" s="9">
        <f>F12-F13</f>
        <v>-32193.11253913329</v>
      </c>
      <c r="I17" s="9">
        <f>F13-F12</f>
        <v>32193.11253913329</v>
      </c>
    </row>
    <row r="18" spans="1:9" ht="12.75">
      <c r="A18">
        <v>3.0345</v>
      </c>
      <c r="C18" s="9">
        <f>C16+C17</f>
        <v>5799.967045641737</v>
      </c>
      <c r="I18" s="9">
        <f>I16+I17</f>
        <v>5799.967045641737</v>
      </c>
    </row>
    <row r="19" ht="12.75">
      <c r="A19">
        <v>3.52</v>
      </c>
    </row>
    <row r="26" spans="1:12" ht="13.5" thickBot="1">
      <c r="A26" s="49" t="s">
        <v>1</v>
      </c>
      <c r="B26">
        <v>18</v>
      </c>
      <c r="C26" s="15" t="s">
        <v>78</v>
      </c>
      <c r="K26">
        <f>B26</f>
        <v>18</v>
      </c>
      <c r="L26" t="s">
        <v>1</v>
      </c>
    </row>
    <row r="27" spans="1:9" ht="12.75">
      <c r="A27" s="49"/>
      <c r="D27" s="59" t="s">
        <v>69</v>
      </c>
      <c r="E27" s="49"/>
      <c r="F27" s="4" t="s">
        <v>1</v>
      </c>
      <c r="G27" s="4" t="s">
        <v>1</v>
      </c>
      <c r="I27" s="59" t="s">
        <v>70</v>
      </c>
    </row>
    <row r="28" spans="1:9" ht="12.75">
      <c r="A28" s="49"/>
      <c r="D28" s="60"/>
      <c r="E28" s="49"/>
      <c r="F28" s="4">
        <f>B26</f>
        <v>18</v>
      </c>
      <c r="G28" s="4">
        <f>B26</f>
        <v>18</v>
      </c>
      <c r="I28" s="60"/>
    </row>
    <row r="29" spans="1:12" ht="13.5" thickBot="1">
      <c r="A29" s="49" t="s">
        <v>71</v>
      </c>
      <c r="B29">
        <v>16</v>
      </c>
      <c r="D29" s="61"/>
      <c r="E29" s="49"/>
      <c r="I29" s="61"/>
      <c r="K29">
        <f>B29</f>
        <v>16</v>
      </c>
      <c r="L29" t="s">
        <v>71</v>
      </c>
    </row>
    <row r="30" spans="1:12" ht="13.5" thickBot="1">
      <c r="A30" s="49" t="s">
        <v>72</v>
      </c>
      <c r="B30">
        <v>5</v>
      </c>
      <c r="E30" s="49"/>
      <c r="K30">
        <v>4</v>
      </c>
      <c r="L30" t="s">
        <v>72</v>
      </c>
    </row>
    <row r="31" spans="5:7" ht="12.75">
      <c r="E31" s="50"/>
      <c r="F31" s="62" t="s">
        <v>77</v>
      </c>
      <c r="G31" s="63"/>
    </row>
    <row r="32" spans="6:7" ht="12.75">
      <c r="F32" s="64"/>
      <c r="G32" s="65"/>
    </row>
    <row r="33" spans="6:7" ht="13.5" thickBot="1">
      <c r="F33" s="66"/>
      <c r="G33" s="67"/>
    </row>
    <row r="34" spans="4:9" ht="12.75">
      <c r="D34" s="49" t="s">
        <v>71</v>
      </c>
      <c r="E34">
        <f>B29</f>
        <v>16</v>
      </c>
      <c r="H34" s="49" t="s">
        <v>71</v>
      </c>
      <c r="I34">
        <f>B29</f>
        <v>16</v>
      </c>
    </row>
    <row r="35" spans="4:9" ht="12.75">
      <c r="D35" s="49" t="s">
        <v>72</v>
      </c>
      <c r="E35">
        <v>4.8</v>
      </c>
      <c r="H35" s="49" t="s">
        <v>72</v>
      </c>
      <c r="I35">
        <v>4.2</v>
      </c>
    </row>
    <row r="38" spans="1:3" ht="12.75">
      <c r="A38" t="s">
        <v>73</v>
      </c>
      <c r="C38" s="1"/>
    </row>
    <row r="39" spans="1:12" ht="12.75">
      <c r="A39" s="1">
        <v>1000000</v>
      </c>
      <c r="C39">
        <f>$A$39*(1+B26/100)</f>
        <v>1180000</v>
      </c>
      <c r="E39">
        <f>C39</f>
        <v>1180000</v>
      </c>
      <c r="G39" s="7"/>
      <c r="I39">
        <f>E39</f>
        <v>1180000</v>
      </c>
      <c r="L39">
        <f>I39</f>
        <v>1180000</v>
      </c>
    </row>
    <row r="40" spans="3:12" ht="12.75">
      <c r="C40">
        <f>A39/A45*(1+B30/100)*A46</f>
        <v>1217993.079584775</v>
      </c>
      <c r="E40">
        <f>A39/A45*(1+E35/100)*A46</f>
        <v>1215673.0927665182</v>
      </c>
      <c r="G40" s="7"/>
      <c r="I40">
        <f>A39/A45*(1+I35/100)*A46</f>
        <v>1208713.1323117483</v>
      </c>
      <c r="L40">
        <f>A39/A45*(1+K30/100)*A46</f>
        <v>1206393.1454934916</v>
      </c>
    </row>
    <row r="41" spans="1:9" ht="12.75">
      <c r="A41" t="s">
        <v>74</v>
      </c>
      <c r="C41" s="7"/>
      <c r="F41" s="7"/>
      <c r="G41" s="7"/>
      <c r="I41" s="7"/>
    </row>
    <row r="42" ht="12.75">
      <c r="A42" t="s">
        <v>75</v>
      </c>
    </row>
    <row r="43" spans="3:12" ht="12.75">
      <c r="C43" s="9"/>
      <c r="F43" s="9"/>
      <c r="L43" s="9"/>
    </row>
    <row r="44" spans="1:12" ht="12.75">
      <c r="A44" t="s">
        <v>76</v>
      </c>
      <c r="C44" s="9">
        <f>C40-C39</f>
        <v>37993.07958477503</v>
      </c>
      <c r="E44" s="9">
        <f>E40-E39</f>
        <v>35673.09276651824</v>
      </c>
      <c r="I44" s="9">
        <f>I40-I39</f>
        <v>28713.13231174834</v>
      </c>
      <c r="K44" s="9"/>
      <c r="L44" s="9"/>
    </row>
    <row r="45" spans="1:12" ht="12.75">
      <c r="A45">
        <v>3.0345</v>
      </c>
      <c r="C45" s="9">
        <f>E39-E40</f>
        <v>-35673.09276651824</v>
      </c>
      <c r="E45" s="9">
        <f>I39-I40</f>
        <v>-28713.13231174834</v>
      </c>
      <c r="I45" s="9">
        <f>L39-L40</f>
        <v>-26393.145493491553</v>
      </c>
      <c r="K45" s="9"/>
      <c r="L45" s="9"/>
    </row>
    <row r="46" spans="1:11" ht="12.75">
      <c r="A46">
        <v>3.52</v>
      </c>
      <c r="C46" s="9">
        <f>SUM(C44:C45)</f>
        <v>2319.986818256788</v>
      </c>
      <c r="E46" s="9">
        <f>SUM(E44:E45)</f>
        <v>6959.960454769898</v>
      </c>
      <c r="I46" s="9">
        <f>SUM(I44:I45)</f>
        <v>2319.986818256788</v>
      </c>
      <c r="K46" s="9"/>
    </row>
  </sheetData>
  <sheetProtection/>
  <mergeCells count="5">
    <mergeCell ref="I27:I29"/>
    <mergeCell ref="F31:G33"/>
    <mergeCell ref="D4:D6"/>
    <mergeCell ref="G4:G6"/>
    <mergeCell ref="D27:D29"/>
  </mergeCells>
  <printOptions/>
  <pageMargins left="0.787401575" right="0.787401575" top="0.984251969" bottom="0.984251969" header="0.492125985" footer="0.49212598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I1:W62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9.28125" style="0" customWidth="1"/>
    <col min="6" max="6" width="9.28125" style="0" customWidth="1"/>
    <col min="8" max="8" width="12.7109375" style="0" customWidth="1"/>
    <col min="9" max="9" width="10.57421875" style="0" customWidth="1"/>
    <col min="10" max="10" width="13.140625" style="0" customWidth="1"/>
    <col min="11" max="11" width="14.00390625" style="0" bestFit="1" customWidth="1"/>
    <col min="12" max="12" width="9.8515625" style="0" customWidth="1"/>
    <col min="13" max="13" width="13.140625" style="0" bestFit="1" customWidth="1"/>
    <col min="14" max="14" width="12.00390625" style="0" bestFit="1" customWidth="1"/>
    <col min="15" max="15" width="14.00390625" style="0" bestFit="1" customWidth="1"/>
    <col min="17" max="17" width="10.7109375" style="0" customWidth="1"/>
  </cols>
  <sheetData>
    <row r="1" spans="9:14" ht="12.75">
      <c r="I1" s="19">
        <v>37827</v>
      </c>
      <c r="K1" s="4" t="s">
        <v>32</v>
      </c>
      <c r="L1" s="4" t="s">
        <v>3</v>
      </c>
      <c r="M1" s="4" t="s">
        <v>5</v>
      </c>
      <c r="N1" s="4" t="s">
        <v>25</v>
      </c>
    </row>
    <row r="2" spans="9:12" ht="12.75">
      <c r="I2" s="18">
        <v>37834</v>
      </c>
      <c r="J2" s="25">
        <f>_XLL.DIATRABALHOTOTAL($I$1,I2,Feriados!$A$1:$L$68)-1</f>
        <v>5</v>
      </c>
      <c r="K2" s="26">
        <v>24.25</v>
      </c>
      <c r="L2" s="1">
        <f aca="true" t="shared" si="0" ref="L2:L13">ROUND($U$18*J2^4+$U$19*J2^3+$U$20*J2^2+$U$21*J2+$U$22,2)</f>
        <v>24.31</v>
      </c>
    </row>
    <row r="3" spans="9:12" ht="12.75">
      <c r="I3" s="18">
        <v>37865</v>
      </c>
      <c r="J3" s="25">
        <f>_XLL.DIATRABALHOTOTAL($I$1,I3,Feriados!$A$1:$L$68)-1</f>
        <v>26</v>
      </c>
      <c r="K3" s="26">
        <v>23.87</v>
      </c>
      <c r="L3" s="1">
        <f t="shared" si="0"/>
        <v>23.78</v>
      </c>
    </row>
    <row r="4" spans="9:23" ht="12.75">
      <c r="I4" s="18">
        <v>37895</v>
      </c>
      <c r="J4" s="25">
        <f>_XLL.DIATRABALHOTOTAL($I$1,I4,Feriados!$A$1:$L$68)-1</f>
        <v>48</v>
      </c>
      <c r="K4" s="26">
        <v>23.27</v>
      </c>
      <c r="L4" s="1">
        <f t="shared" si="0"/>
        <v>23.27</v>
      </c>
      <c r="M4" s="4"/>
      <c r="W4" s="8"/>
    </row>
    <row r="5" spans="9:23" ht="12.75">
      <c r="I5" s="18">
        <v>37928</v>
      </c>
      <c r="J5" s="25">
        <f>_XLL.DIATRABALHOTOTAL($I$1,I5,Feriados!$A$1:$L$68)-1</f>
        <v>71</v>
      </c>
      <c r="K5" s="26">
        <v>22.77</v>
      </c>
      <c r="L5" s="1">
        <f t="shared" si="0"/>
        <v>22.77</v>
      </c>
      <c r="N5" s="21">
        <f aca="true" t="shared" si="1" ref="N5:N12">100000/R5</f>
        <v>94384.05033993222</v>
      </c>
      <c r="R5">
        <f aca="true" t="shared" si="2" ref="R5:R12">(K5/100+1)^(J5/252)</f>
        <v>1.0595010453550304</v>
      </c>
      <c r="S5">
        <f>R5</f>
        <v>1.0595010453550304</v>
      </c>
      <c r="T5" s="1">
        <f>(S5^(252/J5)-1)*100</f>
        <v>22.76999999999998</v>
      </c>
      <c r="W5" s="8"/>
    </row>
    <row r="6" spans="9:23" ht="12.75">
      <c r="I6" s="18">
        <v>37987</v>
      </c>
      <c r="J6" s="25">
        <f>_XLL.DIATRABALHOTOTAL($I$1,I6,Feriados!$A$1:$L$68)-1</f>
        <v>112</v>
      </c>
      <c r="K6" s="26">
        <v>21.95</v>
      </c>
      <c r="L6" s="1">
        <f t="shared" si="0"/>
        <v>21.99</v>
      </c>
      <c r="N6" s="21">
        <f t="shared" si="1"/>
        <v>91558.14301354266</v>
      </c>
      <c r="R6">
        <f t="shared" si="2"/>
        <v>1.0922021429072526</v>
      </c>
      <c r="S6">
        <f aca="true" t="shared" si="3" ref="S6:S12">R6/R5</f>
        <v>1.0308646203753997</v>
      </c>
      <c r="T6" s="1">
        <f aca="true" t="shared" si="4" ref="T6:T12">(S6^(252/(J6-J5))-1)*100</f>
        <v>20.542933191955637</v>
      </c>
      <c r="W6" s="8"/>
    </row>
    <row r="7" spans="9:23" ht="12.75">
      <c r="I7" s="27">
        <v>38078</v>
      </c>
      <c r="J7" s="28">
        <f>_XLL.DIATRABALHOTOTAL($I$1,I7,Feriados!$A$1:$L$68)-1</f>
        <v>175</v>
      </c>
      <c r="K7" s="29">
        <v>21.08</v>
      </c>
      <c r="L7" s="30">
        <f t="shared" si="0"/>
        <v>21.08</v>
      </c>
      <c r="M7" s="31"/>
      <c r="N7" s="32">
        <f t="shared" si="1"/>
        <v>87561.02257510948</v>
      </c>
      <c r="R7" s="31">
        <f t="shared" si="2"/>
        <v>1.142060668766407</v>
      </c>
      <c r="S7" s="31">
        <f t="shared" si="3"/>
        <v>1.0456495404105688</v>
      </c>
      <c r="T7" s="30">
        <f t="shared" si="4"/>
        <v>19.548630019418624</v>
      </c>
      <c r="W7" s="8"/>
    </row>
    <row r="8" spans="9:23" ht="12.75">
      <c r="I8" s="18">
        <v>38169</v>
      </c>
      <c r="J8" s="25">
        <f>_XLL.DIATRABALHOTOTAL($I$1,I8,Feriados!$A$1:$L$68)-1</f>
        <v>237</v>
      </c>
      <c r="K8" s="26">
        <v>20.5</v>
      </c>
      <c r="L8" s="1">
        <f t="shared" si="0"/>
        <v>20.52</v>
      </c>
      <c r="N8" s="21">
        <f t="shared" si="1"/>
        <v>83913.84294667968</v>
      </c>
      <c r="R8">
        <f t="shared" si="2"/>
        <v>1.1916984908382964</v>
      </c>
      <c r="S8">
        <f t="shared" si="3"/>
        <v>1.0434633845901597</v>
      </c>
      <c r="T8" s="1">
        <f t="shared" si="4"/>
        <v>18.877848095145765</v>
      </c>
      <c r="W8" s="8"/>
    </row>
    <row r="9" spans="9:23" ht="12.75">
      <c r="I9" s="18">
        <v>38261</v>
      </c>
      <c r="J9" s="25">
        <f>_XLL.DIATRABALHOTOTAL($I$1,I9,Feriados!$A$1:$L$68)-1</f>
        <v>302</v>
      </c>
      <c r="K9" s="26">
        <v>20.29</v>
      </c>
      <c r="L9" s="1">
        <f t="shared" si="0"/>
        <v>20.27</v>
      </c>
      <c r="N9" s="21">
        <f t="shared" si="1"/>
        <v>80140.47617776933</v>
      </c>
      <c r="R9">
        <f t="shared" si="2"/>
        <v>1.247808907176666</v>
      </c>
      <c r="S9">
        <f t="shared" si="3"/>
        <v>1.0470844066429077</v>
      </c>
      <c r="T9" s="1">
        <f t="shared" si="4"/>
        <v>19.52740284798391</v>
      </c>
      <c r="W9" s="8"/>
    </row>
    <row r="10" spans="9:23" ht="12.75">
      <c r="I10" s="18">
        <v>38355</v>
      </c>
      <c r="J10" s="25">
        <f>_XLL.DIATRABALHOTOTAL($I$1,I10,Feriados!$A$1:$L$68)-1</f>
        <v>365</v>
      </c>
      <c r="K10" s="26">
        <v>20.26</v>
      </c>
      <c r="L10" s="1">
        <f t="shared" si="0"/>
        <v>20.25</v>
      </c>
      <c r="N10" s="21">
        <f t="shared" si="1"/>
        <v>76551.10027331508</v>
      </c>
      <c r="R10" s="8">
        <f t="shared" si="2"/>
        <v>1.306316952244499</v>
      </c>
      <c r="S10">
        <f t="shared" si="3"/>
        <v>1.0468886259196652</v>
      </c>
      <c r="T10" s="1">
        <f t="shared" si="4"/>
        <v>20.116294340116127</v>
      </c>
      <c r="W10" s="8"/>
    </row>
    <row r="11" spans="9:23" ht="12.75">
      <c r="I11" s="18">
        <v>38443</v>
      </c>
      <c r="J11" s="25">
        <f>_XLL.DIATRABALHOTOTAL($I$1,I11,Feriados!$A$1:$L$68)-1</f>
        <v>426</v>
      </c>
      <c r="K11" s="26">
        <v>20.28</v>
      </c>
      <c r="L11" s="1">
        <f t="shared" si="0"/>
        <v>20.34</v>
      </c>
      <c r="N11" s="21">
        <f t="shared" si="1"/>
        <v>73187.16656735772</v>
      </c>
      <c r="R11">
        <f t="shared" si="2"/>
        <v>1.3663597689352425</v>
      </c>
      <c r="S11">
        <f t="shared" si="3"/>
        <v>1.0459634368118538</v>
      </c>
      <c r="T11" s="1">
        <f t="shared" si="4"/>
        <v>20.399741645034908</v>
      </c>
      <c r="W11" s="8"/>
    </row>
    <row r="12" spans="9:23" ht="12.75">
      <c r="I12" s="18">
        <v>38534</v>
      </c>
      <c r="J12" s="25">
        <f>_XLL.DIATRABALHOTOTAL($I$1,I12,Feriados!$A$1:$L$68)-1</f>
        <v>489</v>
      </c>
      <c r="K12" s="26">
        <v>20.36</v>
      </c>
      <c r="L12" s="1">
        <f t="shared" si="0"/>
        <v>20.38</v>
      </c>
      <c r="N12" s="21">
        <f t="shared" si="1"/>
        <v>69795.31116079693</v>
      </c>
      <c r="R12">
        <f t="shared" si="2"/>
        <v>1.4327610026641535</v>
      </c>
      <c r="S12">
        <f t="shared" si="3"/>
        <v>1.0485971815319586</v>
      </c>
      <c r="T12" s="1">
        <f t="shared" si="4"/>
        <v>20.90235051492748</v>
      </c>
      <c r="W12" s="8"/>
    </row>
    <row r="13" spans="9:23" ht="12.75">
      <c r="I13" s="33" t="s">
        <v>33</v>
      </c>
      <c r="J13" s="34">
        <v>175</v>
      </c>
      <c r="K13" s="34"/>
      <c r="L13" s="35">
        <f t="shared" si="0"/>
        <v>21.08</v>
      </c>
      <c r="M13" s="35">
        <f>K16</f>
        <v>21.58</v>
      </c>
      <c r="W13" s="8"/>
    </row>
    <row r="14" spans="10:23" ht="12.75">
      <c r="J14" s="68" t="s">
        <v>35</v>
      </c>
      <c r="K14" s="69"/>
      <c r="L14" s="69"/>
      <c r="M14" s="69"/>
      <c r="N14" s="69"/>
      <c r="W14" s="8"/>
    </row>
    <row r="15" spans="10:23" ht="12.75">
      <c r="J15" t="s">
        <v>0</v>
      </c>
      <c r="K15" s="1">
        <v>50</v>
      </c>
      <c r="L15" t="s">
        <v>40</v>
      </c>
      <c r="N15" s="9"/>
      <c r="R15" s="14">
        <v>112</v>
      </c>
      <c r="S15" s="12">
        <f>VLOOKUP($R$15,$J$2:$K$12,2)</f>
        <v>21.95</v>
      </c>
      <c r="T15" s="12">
        <f>(1+S15/100)^(R15/252)</f>
        <v>1.0922021429072526</v>
      </c>
      <c r="W15" s="8"/>
    </row>
    <row r="16" spans="9:23" ht="12.75">
      <c r="I16" s="34"/>
      <c r="J16" s="15" t="s">
        <v>24</v>
      </c>
      <c r="K16" s="37">
        <f>L13+K15/100</f>
        <v>21.58</v>
      </c>
      <c r="N16" s="10"/>
      <c r="R16" s="14">
        <v>175</v>
      </c>
      <c r="S16" s="12">
        <f>VLOOKUP($R$16,$J$2:$K$12,2)</f>
        <v>21.08</v>
      </c>
      <c r="T16" s="12">
        <f>(1+S16/100)^(R16/252)</f>
        <v>1.142060668766407</v>
      </c>
      <c r="W16" s="8"/>
    </row>
    <row r="17" spans="11:23" ht="12.75">
      <c r="K17" s="5"/>
      <c r="R17" s="13" t="s">
        <v>22</v>
      </c>
      <c r="S17" s="12">
        <f>(T17^(252/(R16-R15))-1)*100</f>
        <v>19.548630019418624</v>
      </c>
      <c r="T17" s="11">
        <f>T16/T15</f>
        <v>1.0456495404105688</v>
      </c>
      <c r="U17" t="s">
        <v>6</v>
      </c>
      <c r="W17" s="8"/>
    </row>
    <row r="18" spans="10:23" ht="12.75">
      <c r="J18" s="15" t="s">
        <v>36</v>
      </c>
      <c r="K18" s="5">
        <f>1000/(1+K16/100)^(J13/252)</f>
        <v>873.1079828296016</v>
      </c>
      <c r="R18" s="13" t="s">
        <v>23</v>
      </c>
      <c r="S18" s="11"/>
      <c r="T18" s="11"/>
      <c r="U18">
        <v>-1.1E-10</v>
      </c>
      <c r="V18" s="4" t="s">
        <v>7</v>
      </c>
      <c r="W18" s="8"/>
    </row>
    <row r="19" spans="18:23" ht="12.75">
      <c r="R19" s="11">
        <f>J13</f>
        <v>175</v>
      </c>
      <c r="S19" s="12">
        <f>(T19^(252/R19)-1)*100</f>
        <v>21.08000000000001</v>
      </c>
      <c r="T19" s="11">
        <f>T15*T17^((R19-R15)/(R16-R15))</f>
        <v>1.142060668766407</v>
      </c>
      <c r="U19">
        <v>6.496E-08</v>
      </c>
      <c r="V19" s="4" t="s">
        <v>8</v>
      </c>
      <c r="W19" s="8"/>
    </row>
    <row r="20" spans="10:22" ht="12.75">
      <c r="J20" t="s">
        <v>17</v>
      </c>
      <c r="K20" s="7">
        <v>10000</v>
      </c>
      <c r="P20" s="20"/>
      <c r="U20">
        <v>3.074027E-05</v>
      </c>
      <c r="V20" s="4" t="s">
        <v>9</v>
      </c>
    </row>
    <row r="21" spans="10:22" ht="12.75">
      <c r="J21" t="s">
        <v>16</v>
      </c>
      <c r="K21" s="1">
        <f>K20*K18</f>
        <v>8731079.828296017</v>
      </c>
      <c r="U21">
        <v>-0.02599839176</v>
      </c>
      <c r="V21" s="4" t="s">
        <v>10</v>
      </c>
    </row>
    <row r="22" spans="11:22" ht="12.75">
      <c r="K22" s="9"/>
      <c r="U22">
        <v>24.43899978843</v>
      </c>
      <c r="V22" s="4" t="s">
        <v>11</v>
      </c>
    </row>
    <row r="23" spans="10:12" ht="12.75">
      <c r="J23" t="s">
        <v>18</v>
      </c>
      <c r="K23" s="22">
        <f>K21/N7</f>
        <v>99.71422867756635</v>
      </c>
      <c r="L23" t="s">
        <v>34</v>
      </c>
    </row>
    <row r="26" spans="10:14" ht="12.75">
      <c r="J26" s="68" t="s">
        <v>61</v>
      </c>
      <c r="K26" s="69"/>
      <c r="L26" s="69"/>
      <c r="M26" s="69"/>
      <c r="N26" s="69"/>
    </row>
    <row r="27" spans="10:14" ht="12.75">
      <c r="J27" s="15" t="s">
        <v>37</v>
      </c>
      <c r="K27" s="2">
        <f>M27^(252/J13)-1</f>
        <v>0.22293926771346673</v>
      </c>
      <c r="L27" s="2"/>
      <c r="M27">
        <v>1.15</v>
      </c>
      <c r="N27" s="10" t="s">
        <v>60</v>
      </c>
    </row>
    <row r="28" spans="10:15" ht="12.75">
      <c r="J28" t="s">
        <v>19</v>
      </c>
      <c r="K28" s="9">
        <f>K20*1000</f>
        <v>10000000</v>
      </c>
      <c r="M28" s="23">
        <f>K28/K21</f>
        <v>1.1453337040387168</v>
      </c>
      <c r="O28" s="8"/>
    </row>
    <row r="29" spans="10:15" ht="12.75">
      <c r="J29" t="s">
        <v>20</v>
      </c>
      <c r="K29" s="9">
        <f>K21*M27</f>
        <v>10040741.802540418</v>
      </c>
      <c r="M29" s="23">
        <f>K29/K21</f>
        <v>1.15</v>
      </c>
      <c r="N29" s="9"/>
      <c r="O29" s="8"/>
    </row>
    <row r="30" spans="10:14" ht="12.75">
      <c r="J30" s="15" t="s">
        <v>39</v>
      </c>
      <c r="K30" s="8">
        <f>K28-K29</f>
        <v>-40741.80254041776</v>
      </c>
      <c r="M30" s="47">
        <f>(M28/M29)^(252/J13)</f>
        <v>0.9941622058413291</v>
      </c>
      <c r="N30" s="7"/>
    </row>
    <row r="31" spans="13:14" ht="12.75">
      <c r="M31" s="36"/>
      <c r="N31" s="9"/>
    </row>
    <row r="32" spans="10:13" ht="12.75">
      <c r="J32" s="15" t="s">
        <v>38</v>
      </c>
      <c r="K32" s="1">
        <f>-(K33-K34)*K23</f>
        <v>69318.93478378412</v>
      </c>
      <c r="L32" s="7"/>
      <c r="M32" s="8"/>
    </row>
    <row r="33" spans="10:13" ht="12.75">
      <c r="J33" t="s">
        <v>27</v>
      </c>
      <c r="K33" s="1">
        <v>100000</v>
      </c>
      <c r="M33" s="8"/>
    </row>
    <row r="34" spans="10:11" ht="12.75">
      <c r="J34" t="s">
        <v>28</v>
      </c>
      <c r="K34" s="1">
        <f>N7*M27</f>
        <v>100695.1759613759</v>
      </c>
    </row>
    <row r="36" spans="10:11" ht="12.75">
      <c r="J36" t="s">
        <v>29</v>
      </c>
      <c r="K36" s="43">
        <f>K30+K32</f>
        <v>28577.13224336636</v>
      </c>
    </row>
    <row r="37" ht="12.75">
      <c r="K37" s="8"/>
    </row>
    <row r="40" spans="9:13" ht="12.75">
      <c r="I40" s="19">
        <v>38019</v>
      </c>
      <c r="L40" s="4"/>
      <c r="M40" s="4"/>
    </row>
    <row r="41" spans="9:20" ht="12.75">
      <c r="I41" s="27">
        <v>38078</v>
      </c>
      <c r="J41" s="28">
        <f>_XLL.DIATRABALHOTOTAL($I$40,I41,Feriados!$A$1:$L$68)-1</f>
        <v>41</v>
      </c>
      <c r="K41" s="29">
        <v>23</v>
      </c>
      <c r="M41" s="32">
        <f aca="true" t="shared" si="5" ref="M41:M46">100000/R41</f>
        <v>96688.00092858946</v>
      </c>
      <c r="R41" s="31">
        <f aca="true" t="shared" si="6" ref="R41:R46">(K41/100+1)^(J41/252)</f>
        <v>1.0342544994167029</v>
      </c>
      <c r="S41" s="31">
        <f>R41</f>
        <v>1.0342544994167029</v>
      </c>
      <c r="T41" s="30">
        <f>(S41^(252/J41)-1)*100</f>
        <v>23.000000000000064</v>
      </c>
    </row>
    <row r="42" spans="9:20" ht="12.75">
      <c r="I42" s="18">
        <v>38169</v>
      </c>
      <c r="J42" s="25">
        <f>_XLL.DIATRABALHOTOTAL($I$40,I42,Feriados!$A$1:$L$68)-1</f>
        <v>103</v>
      </c>
      <c r="K42" s="26">
        <v>16.05</v>
      </c>
      <c r="M42" s="21">
        <f t="shared" si="5"/>
        <v>94097.390484315</v>
      </c>
      <c r="R42">
        <f t="shared" si="6"/>
        <v>1.062728726963676</v>
      </c>
      <c r="S42">
        <f>R42/R41</f>
        <v>1.027531161395026</v>
      </c>
      <c r="T42" s="1">
        <f>(S42^(252/(J42-J41))-1)*100</f>
        <v>11.67114607429738</v>
      </c>
    </row>
    <row r="43" spans="9:20" ht="12.75">
      <c r="I43" s="18">
        <v>38261</v>
      </c>
      <c r="J43" s="25">
        <f>_XLL.DIATRABALHOTOTAL($I$40,I43,Feriados!$A$1:$L$68)-1</f>
        <v>168</v>
      </c>
      <c r="K43" s="26">
        <v>15.96</v>
      </c>
      <c r="M43" s="21">
        <f t="shared" si="5"/>
        <v>90599.93001716677</v>
      </c>
      <c r="R43">
        <f t="shared" si="6"/>
        <v>1.103753611962527</v>
      </c>
      <c r="S43">
        <f>R43/R42</f>
        <v>1.0386033462331101</v>
      </c>
      <c r="T43" s="1">
        <f>(S43^(252/(J43-J42))-1)*100</f>
        <v>15.817527525847908</v>
      </c>
    </row>
    <row r="44" spans="9:20" ht="12.75">
      <c r="I44" s="18">
        <v>38355</v>
      </c>
      <c r="J44" s="25">
        <f>_XLL.DIATRABALHOTOTAL($I$40,I44,Feriados!$A$1:$L$68)-1</f>
        <v>231</v>
      </c>
      <c r="K44" s="26">
        <v>15.81</v>
      </c>
      <c r="M44" s="21">
        <f t="shared" si="5"/>
        <v>87411.0043281548</v>
      </c>
      <c r="R44">
        <f t="shared" si="6"/>
        <v>1.1440207187711071</v>
      </c>
      <c r="S44">
        <f>R44/R43</f>
        <v>1.0364819705885113</v>
      </c>
      <c r="T44" s="1">
        <f>(S44^(252/(J44-J43))-1)*100</f>
        <v>15.410947921410866</v>
      </c>
    </row>
    <row r="45" spans="9:20" ht="12.75">
      <c r="I45" s="18">
        <v>38443</v>
      </c>
      <c r="J45" s="25">
        <f>_XLL.DIATRABALHOTOTAL($I$40,I45,Feriados!$A$1:$L$68)-1</f>
        <v>292</v>
      </c>
      <c r="K45" s="26">
        <v>15.75</v>
      </c>
      <c r="M45" s="21">
        <f t="shared" si="5"/>
        <v>84410.46679410113</v>
      </c>
      <c r="R45">
        <f t="shared" si="6"/>
        <v>1.184687205248204</v>
      </c>
      <c r="S45">
        <f>R45/R44</f>
        <v>1.0355469842546037</v>
      </c>
      <c r="T45" s="1">
        <f>(S45^(252/(J45-J44))-1)*100</f>
        <v>15.523068498170645</v>
      </c>
    </row>
    <row r="46" spans="9:20" ht="12.75">
      <c r="I46" s="18">
        <v>38534</v>
      </c>
      <c r="J46" s="25">
        <f>_XLL.DIATRABALHOTOTAL($I$40,I46,Feriados!$A$1:$L$68)-1</f>
        <v>355</v>
      </c>
      <c r="K46" s="26">
        <v>15.72</v>
      </c>
      <c r="M46" s="21">
        <f t="shared" si="5"/>
        <v>81409.41602387442</v>
      </c>
      <c r="R46">
        <f t="shared" si="6"/>
        <v>1.2283591368678242</v>
      </c>
      <c r="S46">
        <f>R46/R45</f>
        <v>1.036863681338122</v>
      </c>
      <c r="T46" s="1">
        <f>(S46^(252/(J46-J45))-1)*100</f>
        <v>15.581053885439022</v>
      </c>
    </row>
    <row r="47" spans="10:13" ht="12.75">
      <c r="J47">
        <v>41</v>
      </c>
      <c r="L47" s="1"/>
      <c r="M47" s="1"/>
    </row>
    <row r="49" spans="10:14" ht="12.75">
      <c r="J49" s="68" t="s">
        <v>30</v>
      </c>
      <c r="K49" s="69"/>
      <c r="L49" s="69"/>
      <c r="M49" s="69"/>
      <c r="N49" s="69"/>
    </row>
    <row r="50" spans="10:12" ht="12.75">
      <c r="J50" t="s">
        <v>18</v>
      </c>
      <c r="K50" s="22">
        <f>K23</f>
        <v>99.71422867756635</v>
      </c>
      <c r="L50" t="s">
        <v>34</v>
      </c>
    </row>
    <row r="52" spans="10:11" ht="12.75">
      <c r="J52" t="s">
        <v>25</v>
      </c>
      <c r="K52" s="5">
        <f>1000/(1+L54/100)^(J47/252)</f>
        <v>964.1169434970129</v>
      </c>
    </row>
    <row r="53" spans="10:12" ht="12.75">
      <c r="J53" t="s">
        <v>62</v>
      </c>
      <c r="K53" s="24">
        <f>(1+K27)^(134/252)</f>
        <v>1.1129539712590408</v>
      </c>
      <c r="L53" s="39">
        <v>218.26638836128888</v>
      </c>
    </row>
    <row r="54" spans="9:13" ht="12.75">
      <c r="I54" s="34"/>
      <c r="J54" s="15" t="s">
        <v>31</v>
      </c>
      <c r="K54" s="21">
        <f>K52*10000</f>
        <v>9641169.43497013</v>
      </c>
      <c r="L54" s="38">
        <f>K41+L53/100</f>
        <v>25.18266388361289</v>
      </c>
      <c r="M54" s="40">
        <f>K54/K21</f>
        <v>1.10423563002192</v>
      </c>
    </row>
    <row r="55" spans="10:13" ht="12.75">
      <c r="J55" t="s">
        <v>20</v>
      </c>
      <c r="K55" s="21">
        <f>K21*K53</f>
        <v>9717289.968281757</v>
      </c>
      <c r="M55" s="22">
        <f>K55/K21</f>
        <v>1.1129539712590408</v>
      </c>
    </row>
    <row r="56" spans="10:13" ht="12.75">
      <c r="J56" s="15" t="s">
        <v>21</v>
      </c>
      <c r="K56" s="8">
        <f>K54-K55</f>
        <v>-76120.5333116278</v>
      </c>
      <c r="M56" s="48">
        <f>(M54/M55)^(252/(J7-J41))</f>
        <v>0.9853191424405148</v>
      </c>
    </row>
    <row r="58" spans="10:12" ht="12.75">
      <c r="J58" t="s">
        <v>26</v>
      </c>
      <c r="K58" s="8">
        <f>(K60-K59)*K50</f>
        <v>76120.53331163828</v>
      </c>
      <c r="L58" s="7"/>
    </row>
    <row r="59" spans="10:13" ht="12.75">
      <c r="J59" t="s">
        <v>27</v>
      </c>
      <c r="K59" s="1">
        <f>M41</f>
        <v>96688.00092858946</v>
      </c>
      <c r="M59" s="8"/>
    </row>
    <row r="60" spans="10:11" ht="12.75">
      <c r="J60" t="s">
        <v>28</v>
      </c>
      <c r="K60" s="1">
        <f>N7*K53</f>
        <v>97451.38780247062</v>
      </c>
    </row>
    <row r="62" spans="10:11" ht="12.75">
      <c r="J62" t="s">
        <v>29</v>
      </c>
      <c r="K62" s="8">
        <f>K56+K58</f>
        <v>1.0477378964424133E-08</v>
      </c>
    </row>
  </sheetData>
  <sheetProtection/>
  <mergeCells count="3">
    <mergeCell ref="J26:N26"/>
    <mergeCell ref="J49:N49"/>
    <mergeCell ref="J14:N14"/>
  </mergeCells>
  <printOptions/>
  <pageMargins left="0.787401575" right="0.787401575" top="0.7" bottom="0.7" header="0.492125985" footer="0.492125985"/>
  <pageSetup fitToHeight="1" fitToWidth="1" horizontalDpi="600" verticalDpi="600" orientation="portrait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10.140625" style="0" bestFit="1" customWidth="1"/>
  </cols>
  <sheetData>
    <row r="1" spans="1:12" ht="12.75">
      <c r="A1" s="18">
        <v>37622</v>
      </c>
      <c r="B1" s="18">
        <v>37683</v>
      </c>
      <c r="C1" s="18">
        <v>37684</v>
      </c>
      <c r="D1" s="18">
        <v>37729</v>
      </c>
      <c r="E1" s="18">
        <v>37732</v>
      </c>
      <c r="F1" s="18">
        <v>37742</v>
      </c>
      <c r="G1" s="18">
        <v>37791</v>
      </c>
      <c r="H1" s="18">
        <v>37871</v>
      </c>
      <c r="I1" s="18">
        <v>37906</v>
      </c>
      <c r="J1" s="18">
        <v>37927</v>
      </c>
      <c r="K1" s="18">
        <v>37940</v>
      </c>
      <c r="L1" s="18">
        <v>37980</v>
      </c>
    </row>
    <row r="2" spans="1:12" ht="12.75">
      <c r="A2" s="18">
        <v>37987</v>
      </c>
      <c r="B2" s="18">
        <v>38040</v>
      </c>
      <c r="C2" s="18">
        <v>38041</v>
      </c>
      <c r="D2" s="18">
        <v>38086</v>
      </c>
      <c r="E2" s="18">
        <v>38098</v>
      </c>
      <c r="F2" s="18">
        <v>38108</v>
      </c>
      <c r="G2" s="18">
        <v>38148</v>
      </c>
      <c r="H2" s="18">
        <v>38237</v>
      </c>
      <c r="I2" s="18">
        <v>38272</v>
      </c>
      <c r="J2" s="18">
        <v>38293</v>
      </c>
      <c r="K2" s="18">
        <v>38306</v>
      </c>
      <c r="L2" s="18">
        <v>38346</v>
      </c>
    </row>
    <row r="3" spans="1:12" ht="12.75">
      <c r="A3" s="18">
        <v>38353</v>
      </c>
      <c r="B3" s="18">
        <v>38390</v>
      </c>
      <c r="C3" s="18">
        <v>38391</v>
      </c>
      <c r="D3" s="18">
        <v>38436</v>
      </c>
      <c r="E3" s="18">
        <v>38463</v>
      </c>
      <c r="F3" s="18">
        <v>38473</v>
      </c>
      <c r="G3" s="18">
        <v>38498</v>
      </c>
      <c r="H3" s="18">
        <v>38602</v>
      </c>
      <c r="I3" s="18">
        <v>38637</v>
      </c>
      <c r="J3" s="18">
        <v>38658</v>
      </c>
      <c r="K3" s="18">
        <v>38671</v>
      </c>
      <c r="L3" s="18">
        <v>38711</v>
      </c>
    </row>
    <row r="4" spans="1:12" ht="12.75">
      <c r="A4" s="18">
        <v>38718</v>
      </c>
      <c r="B4" s="18">
        <v>38775</v>
      </c>
      <c r="C4" s="18">
        <v>38776</v>
      </c>
      <c r="D4" s="18">
        <v>38821</v>
      </c>
      <c r="E4" s="18">
        <v>38828</v>
      </c>
      <c r="F4" s="18">
        <v>38838</v>
      </c>
      <c r="G4" s="18">
        <v>38883</v>
      </c>
      <c r="H4" s="18">
        <v>38967</v>
      </c>
      <c r="I4" s="18">
        <v>39002</v>
      </c>
      <c r="J4" s="18">
        <v>39023</v>
      </c>
      <c r="K4" s="18">
        <v>39036</v>
      </c>
      <c r="L4" s="18">
        <v>39076</v>
      </c>
    </row>
    <row r="5" spans="1:12" ht="12.75">
      <c r="A5" s="18">
        <v>39083</v>
      </c>
      <c r="B5" s="18">
        <v>39132</v>
      </c>
      <c r="C5" s="18">
        <v>39133</v>
      </c>
      <c r="D5" s="18">
        <v>39178</v>
      </c>
      <c r="E5" s="18">
        <v>39193</v>
      </c>
      <c r="F5" s="18">
        <v>39203</v>
      </c>
      <c r="G5" s="18">
        <v>39240</v>
      </c>
      <c r="H5" s="18">
        <v>39332</v>
      </c>
      <c r="I5" s="18">
        <v>39367</v>
      </c>
      <c r="J5" s="18">
        <v>39388</v>
      </c>
      <c r="K5" s="18">
        <v>39401</v>
      </c>
      <c r="L5" s="18">
        <v>39441</v>
      </c>
    </row>
    <row r="6" spans="1:12" ht="12.75">
      <c r="A6" s="18">
        <v>39448</v>
      </c>
      <c r="B6" s="18">
        <v>39482</v>
      </c>
      <c r="C6" s="18">
        <v>39483</v>
      </c>
      <c r="D6" s="18">
        <v>39528</v>
      </c>
      <c r="E6" s="18">
        <v>39559</v>
      </c>
      <c r="F6" s="18">
        <v>39569</v>
      </c>
      <c r="G6" s="18">
        <v>39590</v>
      </c>
      <c r="H6" s="18">
        <v>39698</v>
      </c>
      <c r="I6" s="18">
        <v>39733</v>
      </c>
      <c r="J6" s="18">
        <v>39754</v>
      </c>
      <c r="K6" s="18">
        <v>39767</v>
      </c>
      <c r="L6" s="18">
        <v>39807</v>
      </c>
    </row>
    <row r="7" spans="1:12" ht="12.75">
      <c r="A7" s="18">
        <v>39814</v>
      </c>
      <c r="B7" s="18">
        <v>39867</v>
      </c>
      <c r="C7" s="18">
        <v>39868</v>
      </c>
      <c r="D7" s="18">
        <v>39913</v>
      </c>
      <c r="E7" s="18">
        <v>39924</v>
      </c>
      <c r="F7" s="18">
        <v>39934</v>
      </c>
      <c r="G7" s="18">
        <v>39975</v>
      </c>
      <c r="H7" s="18">
        <v>40063</v>
      </c>
      <c r="I7" s="18">
        <v>40098</v>
      </c>
      <c r="J7" s="18">
        <v>40119</v>
      </c>
      <c r="K7" s="18">
        <v>40132</v>
      </c>
      <c r="L7" s="18">
        <v>40172</v>
      </c>
    </row>
    <row r="8" spans="1:12" ht="12.75">
      <c r="A8" s="18">
        <v>40179</v>
      </c>
      <c r="B8" s="18">
        <v>40224</v>
      </c>
      <c r="C8" s="18">
        <v>40225</v>
      </c>
      <c r="D8" s="18">
        <v>40270</v>
      </c>
      <c r="E8" s="18">
        <v>40289</v>
      </c>
      <c r="F8" s="18">
        <v>40299</v>
      </c>
      <c r="G8" s="18">
        <v>40332</v>
      </c>
      <c r="H8" s="18">
        <v>40428</v>
      </c>
      <c r="I8" s="18">
        <v>40463</v>
      </c>
      <c r="J8" s="18">
        <v>40484</v>
      </c>
      <c r="K8" s="18">
        <v>40497</v>
      </c>
      <c r="L8" s="18">
        <v>40537</v>
      </c>
    </row>
    <row r="9" spans="1:12" ht="12.75">
      <c r="A9" s="18">
        <v>40544</v>
      </c>
      <c r="B9" s="18">
        <v>40609</v>
      </c>
      <c r="C9" s="18">
        <v>40610</v>
      </c>
      <c r="D9" s="18">
        <v>40654</v>
      </c>
      <c r="E9" s="18">
        <v>40655</v>
      </c>
      <c r="F9" s="18">
        <v>40664</v>
      </c>
      <c r="G9" s="18">
        <v>40717</v>
      </c>
      <c r="H9" s="18">
        <v>40793</v>
      </c>
      <c r="I9" s="18">
        <v>40828</v>
      </c>
      <c r="J9" s="18">
        <v>40849</v>
      </c>
      <c r="K9" s="18">
        <v>40862</v>
      </c>
      <c r="L9" s="18">
        <v>40902</v>
      </c>
    </row>
    <row r="10" spans="1:12" ht="12.75">
      <c r="A10" s="18">
        <v>40909</v>
      </c>
      <c r="B10" s="18">
        <v>40959</v>
      </c>
      <c r="C10" s="18">
        <v>40960</v>
      </c>
      <c r="D10" s="18">
        <v>41005</v>
      </c>
      <c r="E10" s="18">
        <v>41020</v>
      </c>
      <c r="F10" s="18">
        <v>41030</v>
      </c>
      <c r="G10" s="18">
        <v>41067</v>
      </c>
      <c r="H10" s="18">
        <v>41159</v>
      </c>
      <c r="I10" s="18">
        <v>41194</v>
      </c>
      <c r="J10" s="18">
        <v>41215</v>
      </c>
      <c r="K10" s="18">
        <v>41228</v>
      </c>
      <c r="L10" s="18">
        <v>41268</v>
      </c>
    </row>
    <row r="11" spans="1:12" ht="12.75">
      <c r="A11" s="18">
        <v>41275</v>
      </c>
      <c r="B11" s="18">
        <v>41316</v>
      </c>
      <c r="C11" s="18">
        <v>41317</v>
      </c>
      <c r="D11" s="18">
        <v>41362</v>
      </c>
      <c r="E11" s="18">
        <v>41385</v>
      </c>
      <c r="F11" s="18">
        <v>41395</v>
      </c>
      <c r="G11" s="18">
        <v>41424</v>
      </c>
      <c r="H11" s="18">
        <v>41524</v>
      </c>
      <c r="I11" s="18">
        <v>41559</v>
      </c>
      <c r="J11" s="18">
        <v>41580</v>
      </c>
      <c r="K11" s="18">
        <v>41593</v>
      </c>
      <c r="L11" s="18">
        <v>41633</v>
      </c>
    </row>
    <row r="12" spans="1:12" ht="12.75">
      <c r="A12" s="18">
        <v>41640</v>
      </c>
      <c r="B12" s="18">
        <v>41701</v>
      </c>
      <c r="C12" s="18">
        <v>41702</v>
      </c>
      <c r="D12" s="18">
        <v>41747</v>
      </c>
      <c r="E12" s="18">
        <v>41750</v>
      </c>
      <c r="F12" s="18">
        <v>41760</v>
      </c>
      <c r="G12" s="18">
        <v>41809</v>
      </c>
      <c r="H12" s="18">
        <v>41889</v>
      </c>
      <c r="I12" s="18">
        <v>41924</v>
      </c>
      <c r="J12" s="18">
        <v>41945</v>
      </c>
      <c r="K12" s="18">
        <v>41958</v>
      </c>
      <c r="L12" s="18">
        <v>41998</v>
      </c>
    </row>
    <row r="13" spans="1:12" ht="12.75">
      <c r="A13" s="18">
        <v>42005</v>
      </c>
      <c r="B13" s="18">
        <v>42051</v>
      </c>
      <c r="C13" s="18">
        <v>42052</v>
      </c>
      <c r="D13" s="18">
        <v>42097</v>
      </c>
      <c r="E13" s="18">
        <v>42115</v>
      </c>
      <c r="F13" s="18">
        <v>42125</v>
      </c>
      <c r="G13" s="18">
        <v>42159</v>
      </c>
      <c r="H13" s="18">
        <v>42254</v>
      </c>
      <c r="I13" s="18">
        <v>42289</v>
      </c>
      <c r="J13" s="18">
        <v>42310</v>
      </c>
      <c r="K13" s="18">
        <v>42323</v>
      </c>
      <c r="L13" s="18">
        <v>42363</v>
      </c>
    </row>
    <row r="14" spans="1:12" ht="12.75">
      <c r="A14" s="18">
        <v>42370</v>
      </c>
      <c r="B14" s="18">
        <v>42408</v>
      </c>
      <c r="C14" s="18">
        <v>42409</v>
      </c>
      <c r="D14" s="18">
        <v>42454</v>
      </c>
      <c r="E14" s="18">
        <v>42481</v>
      </c>
      <c r="F14" s="18">
        <v>42491</v>
      </c>
      <c r="G14" s="18">
        <v>42516</v>
      </c>
      <c r="H14" s="18">
        <v>42620</v>
      </c>
      <c r="I14" s="18">
        <v>42655</v>
      </c>
      <c r="J14" s="18">
        <v>42676</v>
      </c>
      <c r="K14" s="18">
        <v>42689</v>
      </c>
      <c r="L14" s="18">
        <v>42729</v>
      </c>
    </row>
    <row r="15" spans="1:12" ht="12.75">
      <c r="A15" s="18">
        <v>42736</v>
      </c>
      <c r="B15" s="18">
        <v>42793</v>
      </c>
      <c r="C15" s="18">
        <v>42794</v>
      </c>
      <c r="D15" s="18">
        <v>42839</v>
      </c>
      <c r="E15" s="18">
        <v>42846</v>
      </c>
      <c r="F15" s="18">
        <v>42856</v>
      </c>
      <c r="G15" s="18">
        <v>42901</v>
      </c>
      <c r="H15" s="18">
        <v>42985</v>
      </c>
      <c r="I15" s="18">
        <v>43020</v>
      </c>
      <c r="J15" s="18">
        <v>43041</v>
      </c>
      <c r="K15" s="18">
        <v>43054</v>
      </c>
      <c r="L15" s="18">
        <v>43094</v>
      </c>
    </row>
    <row r="16" spans="1:12" ht="12.75">
      <c r="A16" s="18">
        <v>43101</v>
      </c>
      <c r="B16" s="18">
        <v>43143</v>
      </c>
      <c r="C16" s="18">
        <v>43144</v>
      </c>
      <c r="D16" s="18">
        <v>43189</v>
      </c>
      <c r="E16" s="18">
        <v>43211</v>
      </c>
      <c r="F16" s="18">
        <v>43221</v>
      </c>
      <c r="G16" s="18">
        <v>43251</v>
      </c>
      <c r="H16" s="18">
        <v>43350</v>
      </c>
      <c r="I16" s="18">
        <v>43385</v>
      </c>
      <c r="J16" s="18">
        <v>43406</v>
      </c>
      <c r="K16" s="18">
        <v>43419</v>
      </c>
      <c r="L16" s="18">
        <v>43459</v>
      </c>
    </row>
    <row r="17" spans="1:12" ht="12.75">
      <c r="A17" s="18">
        <v>43466</v>
      </c>
      <c r="B17" s="18">
        <v>43528</v>
      </c>
      <c r="C17" s="18">
        <v>43529</v>
      </c>
      <c r="D17" s="18">
        <v>43574</v>
      </c>
      <c r="E17" s="18">
        <v>43576</v>
      </c>
      <c r="F17" s="18">
        <v>43586</v>
      </c>
      <c r="G17" s="18">
        <v>43636</v>
      </c>
      <c r="H17" s="18">
        <v>43715</v>
      </c>
      <c r="I17" s="18">
        <v>43750</v>
      </c>
      <c r="J17" s="18">
        <v>43771</v>
      </c>
      <c r="K17" s="18">
        <v>43784</v>
      </c>
      <c r="L17" s="18">
        <v>43824</v>
      </c>
    </row>
    <row r="18" spans="1:12" ht="12.75">
      <c r="A18" s="18">
        <v>43831</v>
      </c>
      <c r="B18" s="18">
        <v>43885</v>
      </c>
      <c r="C18" s="18">
        <v>43886</v>
      </c>
      <c r="D18" s="18">
        <v>43931</v>
      </c>
      <c r="E18" s="18">
        <v>43942</v>
      </c>
      <c r="F18" s="18">
        <v>43952</v>
      </c>
      <c r="G18" s="18">
        <v>43993</v>
      </c>
      <c r="H18" s="18">
        <v>44081</v>
      </c>
      <c r="I18" s="18">
        <v>44116</v>
      </c>
      <c r="J18" s="18">
        <v>44137</v>
      </c>
      <c r="K18" s="18">
        <v>44150</v>
      </c>
      <c r="L18" s="18">
        <v>44190</v>
      </c>
    </row>
    <row r="19" spans="1:12" ht="12.75">
      <c r="A19" s="18">
        <v>44197</v>
      </c>
      <c r="B19" s="18">
        <v>44242</v>
      </c>
      <c r="C19" s="18">
        <v>44243</v>
      </c>
      <c r="D19" s="18">
        <v>44288</v>
      </c>
      <c r="E19" s="18">
        <v>44307</v>
      </c>
      <c r="F19" s="18">
        <v>44317</v>
      </c>
      <c r="G19" s="18">
        <v>44350</v>
      </c>
      <c r="H19" s="18">
        <v>44446</v>
      </c>
      <c r="I19" s="18">
        <v>44481</v>
      </c>
      <c r="J19" s="18">
        <v>44502</v>
      </c>
      <c r="K19" s="18">
        <v>44515</v>
      </c>
      <c r="L19" s="18">
        <v>44555</v>
      </c>
    </row>
    <row r="20" spans="1:12" ht="12.75">
      <c r="A20" s="18">
        <v>44562</v>
      </c>
      <c r="B20" s="18">
        <v>44620</v>
      </c>
      <c r="C20" s="18">
        <v>44621</v>
      </c>
      <c r="D20" s="18">
        <v>44666</v>
      </c>
      <c r="E20" s="18">
        <v>44672</v>
      </c>
      <c r="F20" s="18">
        <v>44682</v>
      </c>
      <c r="G20" s="18">
        <v>44728</v>
      </c>
      <c r="H20" s="18">
        <v>44811</v>
      </c>
      <c r="I20" s="18">
        <v>44846</v>
      </c>
      <c r="J20" s="18">
        <v>44867</v>
      </c>
      <c r="K20" s="18">
        <v>44880</v>
      </c>
      <c r="L20" s="18">
        <v>44920</v>
      </c>
    </row>
    <row r="21" spans="1:12" ht="12.75">
      <c r="A21" s="18">
        <v>44927</v>
      </c>
      <c r="B21" s="18">
        <v>44977</v>
      </c>
      <c r="C21" s="18">
        <v>44978</v>
      </c>
      <c r="D21" s="18">
        <v>45023</v>
      </c>
      <c r="E21" s="18">
        <v>45037</v>
      </c>
      <c r="F21" s="18">
        <v>45047</v>
      </c>
      <c r="G21" s="18">
        <v>45085</v>
      </c>
      <c r="H21" s="18">
        <v>45176</v>
      </c>
      <c r="I21" s="18">
        <v>45211</v>
      </c>
      <c r="J21" s="18">
        <v>45232</v>
      </c>
      <c r="K21" s="18">
        <v>45245</v>
      </c>
      <c r="L21" s="18">
        <v>45285</v>
      </c>
    </row>
    <row r="22" spans="1:12" ht="12.75">
      <c r="A22" s="18">
        <v>45292</v>
      </c>
      <c r="B22" s="18">
        <v>45334</v>
      </c>
      <c r="C22" s="18">
        <v>45335</v>
      </c>
      <c r="D22" s="18">
        <v>45380</v>
      </c>
      <c r="E22" s="18">
        <v>45403</v>
      </c>
      <c r="F22" s="18">
        <v>45413</v>
      </c>
      <c r="G22" s="18">
        <v>45442</v>
      </c>
      <c r="H22" s="18">
        <v>45542</v>
      </c>
      <c r="I22" s="18">
        <v>45577</v>
      </c>
      <c r="J22" s="18">
        <v>45598</v>
      </c>
      <c r="K22" s="18">
        <v>45611</v>
      </c>
      <c r="L22" s="18">
        <v>45651</v>
      </c>
    </row>
    <row r="23" spans="1:12" ht="12.75">
      <c r="A23" s="18">
        <v>45658</v>
      </c>
      <c r="B23" s="18">
        <v>45719</v>
      </c>
      <c r="C23" s="18">
        <v>45720</v>
      </c>
      <c r="D23" s="18">
        <v>45765</v>
      </c>
      <c r="E23" s="18">
        <v>45768</v>
      </c>
      <c r="F23" s="18">
        <v>45778</v>
      </c>
      <c r="G23" s="18">
        <v>45827</v>
      </c>
      <c r="H23" s="18">
        <v>45907</v>
      </c>
      <c r="I23" s="18">
        <v>45942</v>
      </c>
      <c r="J23" s="18">
        <v>45963</v>
      </c>
      <c r="K23" s="18">
        <v>45976</v>
      </c>
      <c r="L23" s="18">
        <v>46016</v>
      </c>
    </row>
    <row r="24" spans="1:12" ht="12.75">
      <c r="A24" s="18">
        <v>46023</v>
      </c>
      <c r="B24" s="18">
        <v>46069</v>
      </c>
      <c r="C24" s="18">
        <v>46070</v>
      </c>
      <c r="D24" s="18">
        <v>46115</v>
      </c>
      <c r="E24" s="18">
        <v>46133</v>
      </c>
      <c r="F24" s="18">
        <v>46143</v>
      </c>
      <c r="G24" s="18">
        <v>46177</v>
      </c>
      <c r="H24" s="18">
        <v>46272</v>
      </c>
      <c r="I24" s="18">
        <v>46307</v>
      </c>
      <c r="J24" s="18">
        <v>46328</v>
      </c>
      <c r="K24" s="18">
        <v>46341</v>
      </c>
      <c r="L24" s="18">
        <v>46381</v>
      </c>
    </row>
    <row r="25" spans="1:12" ht="12.75">
      <c r="A25" s="18">
        <v>46388</v>
      </c>
      <c r="B25" s="18">
        <v>46426</v>
      </c>
      <c r="C25" s="18">
        <v>46427</v>
      </c>
      <c r="D25" s="18">
        <v>46472</v>
      </c>
      <c r="E25" s="18">
        <v>46498</v>
      </c>
      <c r="F25" s="18">
        <v>46508</v>
      </c>
      <c r="G25" s="18">
        <v>46534</v>
      </c>
      <c r="H25" s="18">
        <v>46637</v>
      </c>
      <c r="I25" s="18">
        <v>46672</v>
      </c>
      <c r="J25" s="18">
        <v>46693</v>
      </c>
      <c r="K25" s="18">
        <v>46706</v>
      </c>
      <c r="L25" s="18">
        <v>46746</v>
      </c>
    </row>
    <row r="26" spans="1:12" ht="12.75">
      <c r="A26" s="18">
        <v>46753</v>
      </c>
      <c r="B26" s="18">
        <v>46811</v>
      </c>
      <c r="C26" s="18">
        <v>46812</v>
      </c>
      <c r="D26" s="18">
        <v>46857</v>
      </c>
      <c r="E26" s="18">
        <v>46864</v>
      </c>
      <c r="F26" s="18">
        <v>46874</v>
      </c>
      <c r="G26" s="18">
        <v>46919</v>
      </c>
      <c r="H26" s="18">
        <v>47003</v>
      </c>
      <c r="I26" s="18">
        <v>47038</v>
      </c>
      <c r="J26" s="18">
        <v>47059</v>
      </c>
      <c r="K26" s="18">
        <v>47072</v>
      </c>
      <c r="L26" s="18">
        <v>47112</v>
      </c>
    </row>
    <row r="27" spans="1:12" ht="12.75">
      <c r="A27" s="18">
        <v>47119</v>
      </c>
      <c r="B27" s="18">
        <v>47161</v>
      </c>
      <c r="C27" s="18">
        <v>47162</v>
      </c>
      <c r="D27" s="18">
        <v>47207</v>
      </c>
      <c r="E27" s="18">
        <v>47229</v>
      </c>
      <c r="F27" s="18">
        <v>47239</v>
      </c>
      <c r="G27" s="18">
        <v>47269</v>
      </c>
      <c r="H27" s="18">
        <v>47368</v>
      </c>
      <c r="I27" s="18">
        <v>47403</v>
      </c>
      <c r="J27" s="18">
        <v>47424</v>
      </c>
      <c r="K27" s="18">
        <v>47437</v>
      </c>
      <c r="L27" s="18">
        <v>47477</v>
      </c>
    </row>
    <row r="28" spans="1:12" ht="12.75">
      <c r="A28" s="18">
        <v>47484</v>
      </c>
      <c r="B28" s="18">
        <v>47546</v>
      </c>
      <c r="C28" s="18">
        <v>47547</v>
      </c>
      <c r="D28" s="18">
        <v>47592</v>
      </c>
      <c r="E28" s="18">
        <v>47594</v>
      </c>
      <c r="F28" s="18">
        <v>47604</v>
      </c>
      <c r="G28" s="18">
        <v>47654</v>
      </c>
      <c r="H28" s="18">
        <v>47733</v>
      </c>
      <c r="I28" s="18">
        <v>47768</v>
      </c>
      <c r="J28" s="18">
        <v>47789</v>
      </c>
      <c r="K28" s="18">
        <v>47802</v>
      </c>
      <c r="L28" s="18">
        <v>47842</v>
      </c>
    </row>
    <row r="29" spans="1:12" ht="12.75">
      <c r="A29" s="18">
        <v>47849</v>
      </c>
      <c r="B29" s="18">
        <v>47903</v>
      </c>
      <c r="C29" s="18">
        <v>47904</v>
      </c>
      <c r="D29" s="18">
        <v>47949</v>
      </c>
      <c r="E29" s="18">
        <v>47959</v>
      </c>
      <c r="F29" s="18">
        <v>47969</v>
      </c>
      <c r="G29" s="18">
        <v>48011</v>
      </c>
      <c r="H29" s="18">
        <v>48098</v>
      </c>
      <c r="I29" s="18">
        <v>48133</v>
      </c>
      <c r="J29" s="18">
        <v>48154</v>
      </c>
      <c r="K29" s="18">
        <v>48167</v>
      </c>
      <c r="L29" s="18">
        <v>48207</v>
      </c>
    </row>
    <row r="30" spans="1:12" ht="12.75">
      <c r="A30" s="18">
        <v>48214</v>
      </c>
      <c r="B30" s="18">
        <v>48253</v>
      </c>
      <c r="C30" s="18">
        <v>48254</v>
      </c>
      <c r="D30" s="18">
        <v>48299</v>
      </c>
      <c r="E30" s="18">
        <v>48325</v>
      </c>
      <c r="F30" s="18">
        <v>48335</v>
      </c>
      <c r="G30" s="18">
        <v>48361</v>
      </c>
      <c r="H30" s="18">
        <v>48464</v>
      </c>
      <c r="I30" s="18">
        <v>48499</v>
      </c>
      <c r="J30" s="18">
        <v>48520</v>
      </c>
      <c r="K30" s="18">
        <v>48533</v>
      </c>
      <c r="L30" s="18">
        <v>48573</v>
      </c>
    </row>
    <row r="31" spans="1:12" ht="12.75">
      <c r="A31" s="18">
        <v>48580</v>
      </c>
      <c r="B31" s="18">
        <v>48638</v>
      </c>
      <c r="C31" s="18">
        <v>48639</v>
      </c>
      <c r="D31" s="18">
        <v>48684</v>
      </c>
      <c r="E31" s="18">
        <v>48690</v>
      </c>
      <c r="F31" s="18">
        <v>48700</v>
      </c>
      <c r="G31" s="18">
        <v>48746</v>
      </c>
      <c r="H31" s="18">
        <v>48829</v>
      </c>
      <c r="I31" s="18">
        <v>48864</v>
      </c>
      <c r="J31" s="18">
        <v>48885</v>
      </c>
      <c r="K31" s="18">
        <v>48898</v>
      </c>
      <c r="L31" s="18">
        <v>48938</v>
      </c>
    </row>
    <row r="32" spans="1:12" ht="12.75">
      <c r="A32" s="18">
        <v>48945</v>
      </c>
      <c r="B32" s="18">
        <v>48995</v>
      </c>
      <c r="C32" s="18">
        <v>48996</v>
      </c>
      <c r="D32" s="18">
        <v>49041</v>
      </c>
      <c r="E32" s="18">
        <v>49055</v>
      </c>
      <c r="F32" s="18">
        <v>49065</v>
      </c>
      <c r="G32" s="18">
        <v>49103</v>
      </c>
      <c r="H32" s="18">
        <v>49194</v>
      </c>
      <c r="I32" s="18">
        <v>49229</v>
      </c>
      <c r="J32" s="18">
        <v>49250</v>
      </c>
      <c r="K32" s="18">
        <v>49263</v>
      </c>
      <c r="L32" s="18">
        <v>49303</v>
      </c>
    </row>
    <row r="33" spans="1:12" ht="12.75">
      <c r="A33" s="18">
        <v>49310</v>
      </c>
      <c r="B33" s="18">
        <v>49345</v>
      </c>
      <c r="C33" s="18">
        <v>49346</v>
      </c>
      <c r="D33" s="18">
        <v>49391</v>
      </c>
      <c r="E33" s="18">
        <v>49420</v>
      </c>
      <c r="F33" s="18">
        <v>49430</v>
      </c>
      <c r="G33" s="18">
        <v>49453</v>
      </c>
      <c r="H33" s="18">
        <v>49559</v>
      </c>
      <c r="I33" s="18">
        <v>49594</v>
      </c>
      <c r="J33" s="18">
        <v>49615</v>
      </c>
      <c r="K33" s="18">
        <v>49628</v>
      </c>
      <c r="L33" s="18">
        <v>49668</v>
      </c>
    </row>
    <row r="34" spans="1:12" ht="12.75">
      <c r="A34" s="18">
        <v>49675</v>
      </c>
      <c r="B34" s="18">
        <v>49730</v>
      </c>
      <c r="C34" s="18">
        <v>49731</v>
      </c>
      <c r="D34" s="18">
        <v>49776</v>
      </c>
      <c r="E34" s="18">
        <v>49786</v>
      </c>
      <c r="F34" s="18">
        <v>49796</v>
      </c>
      <c r="G34" s="18">
        <v>49838</v>
      </c>
      <c r="H34" s="18">
        <v>49925</v>
      </c>
      <c r="I34" s="18">
        <v>49960</v>
      </c>
      <c r="J34" s="18">
        <v>49981</v>
      </c>
      <c r="K34" s="18">
        <v>49994</v>
      </c>
      <c r="L34" s="18">
        <v>50034</v>
      </c>
    </row>
    <row r="35" spans="1:12" ht="12.75">
      <c r="A35" s="18">
        <v>50041</v>
      </c>
      <c r="B35" s="18">
        <v>50087</v>
      </c>
      <c r="C35" s="18">
        <v>50088</v>
      </c>
      <c r="D35" s="18">
        <v>50133</v>
      </c>
      <c r="E35" s="18">
        <v>50151</v>
      </c>
      <c r="F35" s="18">
        <v>50161</v>
      </c>
      <c r="G35" s="18">
        <v>50195</v>
      </c>
      <c r="H35" s="18">
        <v>50290</v>
      </c>
      <c r="I35" s="18">
        <v>50325</v>
      </c>
      <c r="J35" s="18">
        <v>50346</v>
      </c>
      <c r="K35" s="18">
        <v>50359</v>
      </c>
      <c r="L35" s="18">
        <v>50399</v>
      </c>
    </row>
    <row r="36" spans="1:12" ht="12.75">
      <c r="A36" s="18">
        <v>50406</v>
      </c>
      <c r="B36" s="18">
        <v>50472</v>
      </c>
      <c r="C36" s="18">
        <v>50473</v>
      </c>
      <c r="D36" s="18">
        <v>50516</v>
      </c>
      <c r="E36" s="18">
        <v>50518</v>
      </c>
      <c r="F36" s="18">
        <v>50526</v>
      </c>
      <c r="G36" s="18">
        <v>50580</v>
      </c>
      <c r="H36" s="18">
        <v>50655</v>
      </c>
      <c r="I36" s="18">
        <v>50690</v>
      </c>
      <c r="J36" s="18">
        <v>50711</v>
      </c>
      <c r="K36" s="18">
        <v>50724</v>
      </c>
      <c r="L36" s="18">
        <v>50764</v>
      </c>
    </row>
    <row r="37" spans="1:12" ht="12.75">
      <c r="A37" s="18">
        <v>50771</v>
      </c>
      <c r="B37" s="18">
        <v>50822</v>
      </c>
      <c r="C37" s="18">
        <v>50823</v>
      </c>
      <c r="D37" s="18">
        <v>50868</v>
      </c>
      <c r="E37" s="18">
        <v>50881</v>
      </c>
      <c r="F37" s="18">
        <v>50891</v>
      </c>
      <c r="G37" s="18">
        <v>50930</v>
      </c>
      <c r="H37" s="18">
        <v>51020</v>
      </c>
      <c r="I37" s="18">
        <v>51055</v>
      </c>
      <c r="J37" s="18">
        <v>51076</v>
      </c>
      <c r="K37" s="18">
        <v>51089</v>
      </c>
      <c r="L37" s="18">
        <v>51129</v>
      </c>
    </row>
    <row r="38" spans="1:12" ht="12.75">
      <c r="A38" s="18">
        <v>51136</v>
      </c>
      <c r="B38" s="18">
        <v>51179</v>
      </c>
      <c r="C38" s="18">
        <v>51180</v>
      </c>
      <c r="D38" s="18">
        <v>51225</v>
      </c>
      <c r="E38" s="18">
        <v>51247</v>
      </c>
      <c r="F38" s="18">
        <v>51257</v>
      </c>
      <c r="G38" s="18">
        <v>51287</v>
      </c>
      <c r="H38" s="18">
        <v>51386</v>
      </c>
      <c r="I38" s="18">
        <v>51421</v>
      </c>
      <c r="J38" s="18">
        <v>51442</v>
      </c>
      <c r="K38" s="18">
        <v>51455</v>
      </c>
      <c r="L38" s="18">
        <v>51495</v>
      </c>
    </row>
    <row r="39" spans="1:12" ht="12.75">
      <c r="A39" s="18">
        <v>51502</v>
      </c>
      <c r="B39" s="18">
        <v>51564</v>
      </c>
      <c r="C39" s="18">
        <v>51565</v>
      </c>
      <c r="D39" s="18">
        <v>51610</v>
      </c>
      <c r="E39" s="18">
        <v>51612</v>
      </c>
      <c r="F39" s="18">
        <v>51622</v>
      </c>
      <c r="G39" s="18">
        <v>51672</v>
      </c>
      <c r="H39" s="18">
        <v>51751</v>
      </c>
      <c r="I39" s="18">
        <v>51786</v>
      </c>
      <c r="J39" s="18">
        <v>51807</v>
      </c>
      <c r="K39" s="18">
        <v>51820</v>
      </c>
      <c r="L39" s="18">
        <v>51860</v>
      </c>
    </row>
    <row r="40" spans="1:12" ht="12.75">
      <c r="A40" s="18">
        <v>51867</v>
      </c>
      <c r="B40" s="18">
        <v>51914</v>
      </c>
      <c r="C40" s="18">
        <v>51915</v>
      </c>
      <c r="D40" s="18">
        <v>51960</v>
      </c>
      <c r="E40" s="18">
        <v>51977</v>
      </c>
      <c r="F40" s="18">
        <v>51987</v>
      </c>
      <c r="G40" s="18">
        <v>52022</v>
      </c>
      <c r="H40" s="18">
        <v>52116</v>
      </c>
      <c r="I40" s="18">
        <v>52151</v>
      </c>
      <c r="J40" s="18">
        <v>52172</v>
      </c>
      <c r="K40" s="18">
        <v>52185</v>
      </c>
      <c r="L40" s="18">
        <v>52225</v>
      </c>
    </row>
    <row r="41" spans="1:12" ht="12.75">
      <c r="A41" s="18">
        <v>52232</v>
      </c>
      <c r="B41" s="18">
        <v>52271</v>
      </c>
      <c r="C41" s="18">
        <v>52272</v>
      </c>
      <c r="D41" s="18">
        <v>52317</v>
      </c>
      <c r="E41" s="18">
        <v>52342</v>
      </c>
      <c r="F41" s="18">
        <v>52352</v>
      </c>
      <c r="G41" s="18">
        <v>52379</v>
      </c>
      <c r="H41" s="18">
        <v>52481</v>
      </c>
      <c r="I41" s="18">
        <v>52516</v>
      </c>
      <c r="J41" s="18">
        <v>52537</v>
      </c>
      <c r="K41" s="18">
        <v>52550</v>
      </c>
      <c r="L41" s="18">
        <v>52590</v>
      </c>
    </row>
    <row r="42" spans="1:12" ht="12.75">
      <c r="A42" s="18">
        <v>52597</v>
      </c>
      <c r="B42" s="18">
        <v>52656</v>
      </c>
      <c r="C42" s="18">
        <v>52657</v>
      </c>
      <c r="D42" s="18">
        <v>52702</v>
      </c>
      <c r="E42" s="18">
        <v>52708</v>
      </c>
      <c r="F42" s="18">
        <v>52718</v>
      </c>
      <c r="G42" s="18">
        <v>52764</v>
      </c>
      <c r="H42" s="18">
        <v>52847</v>
      </c>
      <c r="I42" s="18">
        <v>52882</v>
      </c>
      <c r="J42" s="18">
        <v>52903</v>
      </c>
      <c r="K42" s="18">
        <v>52916</v>
      </c>
      <c r="L42" s="18">
        <v>52956</v>
      </c>
    </row>
    <row r="43" spans="1:12" ht="12.75">
      <c r="A43" s="18">
        <v>52963</v>
      </c>
      <c r="B43" s="18">
        <v>53013</v>
      </c>
      <c r="C43" s="18">
        <v>53014</v>
      </c>
      <c r="D43" s="18">
        <v>53059</v>
      </c>
      <c r="E43" s="18">
        <v>53073</v>
      </c>
      <c r="F43" s="18">
        <v>53083</v>
      </c>
      <c r="G43" s="18">
        <v>53121</v>
      </c>
      <c r="H43" s="18">
        <v>53212</v>
      </c>
      <c r="I43" s="18">
        <v>53247</v>
      </c>
      <c r="J43" s="18">
        <v>53268</v>
      </c>
      <c r="K43" s="18">
        <v>53281</v>
      </c>
      <c r="L43" s="18">
        <v>53321</v>
      </c>
    </row>
    <row r="44" spans="1:12" ht="12.75">
      <c r="A44" s="18">
        <v>53328</v>
      </c>
      <c r="B44" s="18">
        <v>53363</v>
      </c>
      <c r="C44" s="18">
        <v>53364</v>
      </c>
      <c r="D44" s="18">
        <v>53409</v>
      </c>
      <c r="E44" s="18">
        <v>53438</v>
      </c>
      <c r="F44" s="18">
        <v>53448</v>
      </c>
      <c r="G44" s="18">
        <v>53471</v>
      </c>
      <c r="H44" s="18">
        <v>53577</v>
      </c>
      <c r="I44" s="18">
        <v>53612</v>
      </c>
      <c r="J44" s="18">
        <v>53633</v>
      </c>
      <c r="K44" s="18">
        <v>53646</v>
      </c>
      <c r="L44" s="18">
        <v>53686</v>
      </c>
    </row>
    <row r="45" spans="1:12" ht="12.75">
      <c r="A45" s="18">
        <v>53693</v>
      </c>
      <c r="B45" s="18">
        <v>53748</v>
      </c>
      <c r="C45" s="18">
        <v>53749</v>
      </c>
      <c r="D45" s="18">
        <v>53794</v>
      </c>
      <c r="E45" s="18">
        <v>53803</v>
      </c>
      <c r="F45" s="18">
        <v>53813</v>
      </c>
      <c r="G45" s="18">
        <v>53856</v>
      </c>
      <c r="H45" s="18">
        <v>53942</v>
      </c>
      <c r="I45" s="18">
        <v>53977</v>
      </c>
      <c r="J45" s="18">
        <v>53998</v>
      </c>
      <c r="K45" s="18">
        <v>54011</v>
      </c>
      <c r="L45" s="18">
        <v>54051</v>
      </c>
    </row>
    <row r="46" spans="1:12" ht="12.75">
      <c r="A46" s="18">
        <v>54058</v>
      </c>
      <c r="B46" s="18">
        <v>54105</v>
      </c>
      <c r="C46" s="18">
        <v>54106</v>
      </c>
      <c r="D46" s="18">
        <v>54151</v>
      </c>
      <c r="E46" s="18">
        <v>54169</v>
      </c>
      <c r="F46" s="18">
        <v>54179</v>
      </c>
      <c r="G46" s="18">
        <v>54213</v>
      </c>
      <c r="H46" s="18">
        <v>54308</v>
      </c>
      <c r="I46" s="18">
        <v>54343</v>
      </c>
      <c r="J46" s="18">
        <v>54364</v>
      </c>
      <c r="K46" s="18">
        <v>54377</v>
      </c>
      <c r="L46" s="18">
        <v>54417</v>
      </c>
    </row>
    <row r="47" spans="1:12" ht="12.75">
      <c r="A47" s="18">
        <v>54424</v>
      </c>
      <c r="B47" s="18">
        <v>54483</v>
      </c>
      <c r="C47" s="18">
        <v>54484</v>
      </c>
      <c r="D47" s="18">
        <v>54529</v>
      </c>
      <c r="E47" s="18">
        <v>54534</v>
      </c>
      <c r="F47" s="18">
        <v>54544</v>
      </c>
      <c r="G47" s="18">
        <v>54591</v>
      </c>
      <c r="H47" s="18">
        <v>54673</v>
      </c>
      <c r="I47" s="18">
        <v>54708</v>
      </c>
      <c r="J47" s="18">
        <v>54729</v>
      </c>
      <c r="K47" s="18">
        <v>54742</v>
      </c>
      <c r="L47" s="18">
        <v>54782</v>
      </c>
    </row>
    <row r="48" spans="1:12" ht="12.75">
      <c r="A48" s="18">
        <v>54789</v>
      </c>
      <c r="B48" s="18">
        <v>54840</v>
      </c>
      <c r="C48" s="18">
        <v>54841</v>
      </c>
      <c r="D48" s="18">
        <v>54886</v>
      </c>
      <c r="E48" s="18">
        <v>54899</v>
      </c>
      <c r="F48" s="18">
        <v>54909</v>
      </c>
      <c r="G48" s="18">
        <v>54948</v>
      </c>
      <c r="H48" s="18">
        <v>55038</v>
      </c>
      <c r="I48" s="18">
        <v>55073</v>
      </c>
      <c r="J48" s="18">
        <v>55094</v>
      </c>
      <c r="K48" s="18">
        <v>55107</v>
      </c>
      <c r="L48" s="18">
        <v>55147</v>
      </c>
    </row>
    <row r="49" spans="1:12" ht="12.75">
      <c r="A49" s="18">
        <v>55154</v>
      </c>
      <c r="B49" s="18">
        <v>55197</v>
      </c>
      <c r="C49" s="18">
        <v>55198</v>
      </c>
      <c r="D49" s="18">
        <v>55243</v>
      </c>
      <c r="E49" s="18">
        <v>55264</v>
      </c>
      <c r="F49" s="18">
        <v>55274</v>
      </c>
      <c r="G49" s="18">
        <v>55305</v>
      </c>
      <c r="H49" s="18">
        <v>55403</v>
      </c>
      <c r="I49" s="18">
        <v>55438</v>
      </c>
      <c r="J49" s="18">
        <v>55459</v>
      </c>
      <c r="K49" s="18">
        <v>55472</v>
      </c>
      <c r="L49" s="18">
        <v>55512</v>
      </c>
    </row>
    <row r="50" spans="1:12" ht="12.75">
      <c r="A50" s="18">
        <v>55519</v>
      </c>
      <c r="B50" s="18">
        <v>55582</v>
      </c>
      <c r="C50" s="18">
        <v>55583</v>
      </c>
      <c r="D50" s="18">
        <v>55628</v>
      </c>
      <c r="E50" s="18">
        <v>55630</v>
      </c>
      <c r="F50" s="18">
        <v>55640</v>
      </c>
      <c r="G50" s="18">
        <v>55690</v>
      </c>
      <c r="H50" s="18">
        <v>55769</v>
      </c>
      <c r="I50" s="18">
        <v>55804</v>
      </c>
      <c r="J50" s="18">
        <v>55825</v>
      </c>
      <c r="K50" s="18">
        <v>55838</v>
      </c>
      <c r="L50" s="18">
        <v>55878</v>
      </c>
    </row>
    <row r="51" spans="1:12" ht="12.75">
      <c r="A51" s="18">
        <v>55885</v>
      </c>
      <c r="B51" s="18">
        <v>55932</v>
      </c>
      <c r="C51" s="18">
        <v>55933</v>
      </c>
      <c r="D51" s="18">
        <v>55978</v>
      </c>
      <c r="E51" s="18">
        <v>55995</v>
      </c>
      <c r="F51" s="18">
        <v>56005</v>
      </c>
      <c r="G51" s="18">
        <v>56040</v>
      </c>
      <c r="H51" s="18">
        <v>56134</v>
      </c>
      <c r="I51" s="18">
        <v>56169</v>
      </c>
      <c r="J51" s="18">
        <v>56190</v>
      </c>
      <c r="K51" s="18">
        <v>56203</v>
      </c>
      <c r="L51" s="18">
        <v>56243</v>
      </c>
    </row>
    <row r="52" spans="1:12" ht="12.75">
      <c r="A52" s="18">
        <v>56250</v>
      </c>
      <c r="B52" s="18">
        <v>56289</v>
      </c>
      <c r="C52" s="18">
        <v>56290</v>
      </c>
      <c r="D52" s="18">
        <v>56335</v>
      </c>
      <c r="E52" s="18">
        <v>56360</v>
      </c>
      <c r="F52" s="18">
        <v>56370</v>
      </c>
      <c r="G52" s="18">
        <v>56397</v>
      </c>
      <c r="H52" s="18">
        <v>56499</v>
      </c>
      <c r="I52" s="18">
        <v>56534</v>
      </c>
      <c r="J52" s="18">
        <v>56555</v>
      </c>
      <c r="K52" s="18">
        <v>56568</v>
      </c>
      <c r="L52" s="18">
        <v>56608</v>
      </c>
    </row>
    <row r="53" spans="1:12" ht="12.75">
      <c r="A53" s="18">
        <v>56615</v>
      </c>
      <c r="B53" s="18">
        <v>56674</v>
      </c>
      <c r="C53" s="18">
        <v>56675</v>
      </c>
      <c r="D53" s="18">
        <v>56720</v>
      </c>
      <c r="E53" s="18">
        <v>56725</v>
      </c>
      <c r="F53" s="18">
        <v>56735</v>
      </c>
      <c r="G53" s="18">
        <v>56782</v>
      </c>
      <c r="H53" s="18">
        <v>56864</v>
      </c>
      <c r="I53" s="18">
        <v>56899</v>
      </c>
      <c r="J53" s="18">
        <v>56920</v>
      </c>
      <c r="K53" s="18">
        <v>56933</v>
      </c>
      <c r="L53" s="18">
        <v>56973</v>
      </c>
    </row>
    <row r="54" spans="1:12" ht="12.75">
      <c r="A54" s="18">
        <v>56980</v>
      </c>
      <c r="B54" s="18">
        <v>57024</v>
      </c>
      <c r="C54" s="18">
        <v>57025</v>
      </c>
      <c r="D54" s="18">
        <v>57070</v>
      </c>
      <c r="E54" s="18">
        <v>57091</v>
      </c>
      <c r="F54" s="18">
        <v>57101</v>
      </c>
      <c r="G54" s="18">
        <v>57132</v>
      </c>
      <c r="H54" s="18">
        <v>57230</v>
      </c>
      <c r="I54" s="18">
        <v>57265</v>
      </c>
      <c r="J54" s="18">
        <v>57286</v>
      </c>
      <c r="K54" s="18">
        <v>57299</v>
      </c>
      <c r="L54" s="18">
        <v>57339</v>
      </c>
    </row>
    <row r="55" spans="1:12" ht="12.75">
      <c r="A55" s="18">
        <v>57346</v>
      </c>
      <c r="B55" s="18">
        <v>57409</v>
      </c>
      <c r="C55" s="18">
        <v>57410</v>
      </c>
      <c r="D55" s="18">
        <v>57455</v>
      </c>
      <c r="E55" s="18">
        <v>57456</v>
      </c>
      <c r="F55" s="18">
        <v>57466</v>
      </c>
      <c r="G55" s="18">
        <v>57517</v>
      </c>
      <c r="H55" s="18">
        <v>57595</v>
      </c>
      <c r="I55" s="18">
        <v>57630</v>
      </c>
      <c r="J55" s="18">
        <v>57651</v>
      </c>
      <c r="K55" s="18">
        <v>57664</v>
      </c>
      <c r="L55" s="18">
        <v>57704</v>
      </c>
    </row>
    <row r="56" spans="1:12" ht="12.75">
      <c r="A56" s="18">
        <v>57711</v>
      </c>
      <c r="B56" s="18">
        <v>57766</v>
      </c>
      <c r="C56" s="18">
        <v>57767</v>
      </c>
      <c r="D56" s="18">
        <v>57812</v>
      </c>
      <c r="E56" s="18">
        <v>57821</v>
      </c>
      <c r="F56" s="18">
        <v>57831</v>
      </c>
      <c r="G56" s="18">
        <v>57874</v>
      </c>
      <c r="H56" s="18">
        <v>57960</v>
      </c>
      <c r="I56" s="18">
        <v>57995</v>
      </c>
      <c r="J56" s="18">
        <v>58016</v>
      </c>
      <c r="K56" s="18">
        <v>58029</v>
      </c>
      <c r="L56" s="18">
        <v>58069</v>
      </c>
    </row>
    <row r="57" spans="1:12" ht="12.75">
      <c r="A57" s="18">
        <v>58076</v>
      </c>
      <c r="B57" s="18">
        <v>58116</v>
      </c>
      <c r="C57" s="18">
        <v>58117</v>
      </c>
      <c r="D57" s="18">
        <v>58162</v>
      </c>
      <c r="E57" s="18">
        <v>58186</v>
      </c>
      <c r="F57" s="18">
        <v>58196</v>
      </c>
      <c r="G57" s="18">
        <v>58224</v>
      </c>
      <c r="H57" s="18">
        <v>58325</v>
      </c>
      <c r="I57" s="18">
        <v>58360</v>
      </c>
      <c r="J57" s="18">
        <v>58381</v>
      </c>
      <c r="K57" s="18">
        <v>58394</v>
      </c>
      <c r="L57" s="18">
        <v>58434</v>
      </c>
    </row>
    <row r="58" spans="1:12" ht="12.75">
      <c r="A58" s="18">
        <v>58441</v>
      </c>
      <c r="B58" s="18">
        <v>58501</v>
      </c>
      <c r="C58" s="18">
        <v>58502</v>
      </c>
      <c r="D58" s="18">
        <v>58547</v>
      </c>
      <c r="E58" s="18">
        <v>58552</v>
      </c>
      <c r="F58" s="18">
        <v>58562</v>
      </c>
      <c r="G58" s="18">
        <v>58609</v>
      </c>
      <c r="H58" s="18">
        <v>58691</v>
      </c>
      <c r="I58" s="18">
        <v>58726</v>
      </c>
      <c r="J58" s="18">
        <v>58747</v>
      </c>
      <c r="K58" s="18">
        <v>58760</v>
      </c>
      <c r="L58" s="18">
        <v>58800</v>
      </c>
    </row>
    <row r="59" spans="1:12" ht="12.75">
      <c r="A59" s="18">
        <v>58807</v>
      </c>
      <c r="B59" s="18">
        <v>58858</v>
      </c>
      <c r="C59" s="18">
        <v>58859</v>
      </c>
      <c r="D59" s="18">
        <v>58904</v>
      </c>
      <c r="E59" s="18">
        <v>58917</v>
      </c>
      <c r="F59" s="18">
        <v>58927</v>
      </c>
      <c r="G59" s="18">
        <v>58966</v>
      </c>
      <c r="H59" s="18">
        <v>59056</v>
      </c>
      <c r="I59" s="18">
        <v>59091</v>
      </c>
      <c r="J59" s="18">
        <v>59112</v>
      </c>
      <c r="K59" s="18">
        <v>59125</v>
      </c>
      <c r="L59" s="18">
        <v>59165</v>
      </c>
    </row>
    <row r="60" spans="1:12" ht="12.75">
      <c r="A60" s="18">
        <v>59172</v>
      </c>
      <c r="B60" s="18">
        <v>59208</v>
      </c>
      <c r="C60" s="18">
        <v>59209</v>
      </c>
      <c r="D60" s="18">
        <v>59254</v>
      </c>
      <c r="E60" s="18">
        <v>59282</v>
      </c>
      <c r="F60" s="18">
        <v>59292</v>
      </c>
      <c r="G60" s="18">
        <v>59316</v>
      </c>
      <c r="H60" s="18">
        <v>59421</v>
      </c>
      <c r="I60" s="18">
        <v>59456</v>
      </c>
      <c r="J60" s="18">
        <v>59477</v>
      </c>
      <c r="K60" s="18">
        <v>59490</v>
      </c>
      <c r="L60" s="18">
        <v>59530</v>
      </c>
    </row>
    <row r="61" spans="1:12" ht="12.75">
      <c r="A61" s="18">
        <v>59537</v>
      </c>
      <c r="B61" s="18">
        <v>59593</v>
      </c>
      <c r="C61" s="18">
        <v>59594</v>
      </c>
      <c r="D61" s="18">
        <v>59639</v>
      </c>
      <c r="E61" s="18">
        <v>59647</v>
      </c>
      <c r="F61" s="18">
        <v>59657</v>
      </c>
      <c r="G61" s="18">
        <v>59701</v>
      </c>
      <c r="H61" s="18">
        <v>59786</v>
      </c>
      <c r="I61" s="18">
        <v>59821</v>
      </c>
      <c r="J61" s="18">
        <v>59842</v>
      </c>
      <c r="K61" s="18">
        <v>59855</v>
      </c>
      <c r="L61" s="18">
        <v>59895</v>
      </c>
    </row>
    <row r="62" spans="1:12" ht="12.75">
      <c r="A62" s="18">
        <v>59902</v>
      </c>
      <c r="B62" s="18">
        <v>59950</v>
      </c>
      <c r="C62" s="18">
        <v>59951</v>
      </c>
      <c r="D62" s="18">
        <v>59996</v>
      </c>
      <c r="E62" s="18">
        <v>60013</v>
      </c>
      <c r="F62" s="18">
        <v>60023</v>
      </c>
      <c r="G62" s="18">
        <v>60058</v>
      </c>
      <c r="H62" s="18">
        <v>60152</v>
      </c>
      <c r="I62" s="18">
        <v>60187</v>
      </c>
      <c r="J62" s="18">
        <v>60208</v>
      </c>
      <c r="K62" s="18">
        <v>60221</v>
      </c>
      <c r="L62" s="18">
        <v>60261</v>
      </c>
    </row>
    <row r="63" spans="1:12" ht="12.75">
      <c r="A63" s="18">
        <v>60268</v>
      </c>
      <c r="B63" s="18">
        <v>60307</v>
      </c>
      <c r="C63" s="18">
        <v>60308</v>
      </c>
      <c r="D63" s="18">
        <v>60353</v>
      </c>
      <c r="E63" s="18">
        <v>60378</v>
      </c>
      <c r="F63" s="18">
        <v>60388</v>
      </c>
      <c r="G63" s="18">
        <v>60415</v>
      </c>
      <c r="H63" s="18">
        <v>60517</v>
      </c>
      <c r="I63" s="18">
        <v>60552</v>
      </c>
      <c r="J63" s="18">
        <v>60573</v>
      </c>
      <c r="K63" s="18">
        <v>60586</v>
      </c>
      <c r="L63" s="18">
        <v>60626</v>
      </c>
    </row>
    <row r="64" spans="1:12" ht="12.75">
      <c r="A64" s="18">
        <v>60633</v>
      </c>
      <c r="B64" s="18">
        <v>60685</v>
      </c>
      <c r="C64" s="18">
        <v>60686</v>
      </c>
      <c r="D64" s="18">
        <v>60731</v>
      </c>
      <c r="E64" s="18">
        <v>60743</v>
      </c>
      <c r="F64" s="18">
        <v>60753</v>
      </c>
      <c r="G64" s="18">
        <v>60793</v>
      </c>
      <c r="H64" s="18">
        <v>60882</v>
      </c>
      <c r="I64" s="18">
        <v>60917</v>
      </c>
      <c r="J64" s="18">
        <v>60938</v>
      </c>
      <c r="K64" s="18">
        <v>60951</v>
      </c>
      <c r="L64" s="18">
        <v>60991</v>
      </c>
    </row>
    <row r="65" spans="1:12" ht="12.75">
      <c r="A65" s="18">
        <v>60998</v>
      </c>
      <c r="B65" s="18">
        <v>61042</v>
      </c>
      <c r="C65" s="18">
        <v>61043</v>
      </c>
      <c r="D65" s="18">
        <v>61088</v>
      </c>
      <c r="E65" s="18">
        <v>61108</v>
      </c>
      <c r="F65" s="18">
        <v>61118</v>
      </c>
      <c r="G65" s="18">
        <v>61150</v>
      </c>
      <c r="H65" s="18">
        <v>61247</v>
      </c>
      <c r="I65" s="18">
        <v>61282</v>
      </c>
      <c r="J65" s="18">
        <v>61303</v>
      </c>
      <c r="K65" s="18">
        <v>61316</v>
      </c>
      <c r="L65" s="18">
        <v>61356</v>
      </c>
    </row>
    <row r="66" spans="1:12" ht="12.75">
      <c r="A66" s="18">
        <v>61363</v>
      </c>
      <c r="B66" s="18">
        <v>61427</v>
      </c>
      <c r="C66" s="18">
        <v>61428</v>
      </c>
      <c r="D66" s="18">
        <v>61473</v>
      </c>
      <c r="E66" s="18">
        <v>61474</v>
      </c>
      <c r="F66" s="18">
        <v>61484</v>
      </c>
      <c r="G66" s="18">
        <v>61535</v>
      </c>
      <c r="H66" s="18">
        <v>61613</v>
      </c>
      <c r="I66" s="18">
        <v>61648</v>
      </c>
      <c r="J66" s="18">
        <v>61669</v>
      </c>
      <c r="K66" s="18">
        <v>61682</v>
      </c>
      <c r="L66" s="18">
        <v>61722</v>
      </c>
    </row>
    <row r="67" spans="1:12" ht="12.75">
      <c r="A67" s="18">
        <v>61729</v>
      </c>
      <c r="B67" s="18">
        <v>61784</v>
      </c>
      <c r="C67" s="18">
        <v>61785</v>
      </c>
      <c r="D67" s="18">
        <v>61830</v>
      </c>
      <c r="E67" s="18">
        <v>61839</v>
      </c>
      <c r="F67" s="18">
        <v>61849</v>
      </c>
      <c r="G67" s="18">
        <v>61892</v>
      </c>
      <c r="H67" s="18">
        <v>61978</v>
      </c>
      <c r="I67" s="18">
        <v>62013</v>
      </c>
      <c r="J67" s="18">
        <v>62034</v>
      </c>
      <c r="K67" s="18">
        <v>62047</v>
      </c>
      <c r="L67" s="18">
        <v>62087</v>
      </c>
    </row>
    <row r="68" spans="1:12" ht="12.75">
      <c r="A68" s="18">
        <v>62094</v>
      </c>
      <c r="B68" s="18">
        <v>62134</v>
      </c>
      <c r="C68" s="18">
        <v>62135</v>
      </c>
      <c r="D68" s="18">
        <v>62180</v>
      </c>
      <c r="E68" s="18">
        <v>62204</v>
      </c>
      <c r="F68" s="18">
        <v>62214</v>
      </c>
      <c r="G68" s="18">
        <v>62242</v>
      </c>
      <c r="H68" s="18">
        <v>62343</v>
      </c>
      <c r="I68" s="18">
        <v>62378</v>
      </c>
      <c r="J68" s="18">
        <v>62399</v>
      </c>
      <c r="K68" s="18">
        <v>62412</v>
      </c>
      <c r="L68" s="18">
        <v>62452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Home´s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Lamosa Berger</dc:creator>
  <cp:keywords/>
  <dc:description/>
  <cp:lastModifiedBy>Paulo Berger</cp:lastModifiedBy>
  <cp:lastPrinted>2004-06-25T12:21:48Z</cp:lastPrinted>
  <dcterms:created xsi:type="dcterms:W3CDTF">2001-10-24T01:40:52Z</dcterms:created>
  <dcterms:modified xsi:type="dcterms:W3CDTF">2014-05-27T02:10:52Z</dcterms:modified>
  <cp:category/>
  <cp:version/>
  <cp:contentType/>
  <cp:contentStatus/>
</cp:coreProperties>
</file>